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40" windowHeight="12795" tabRatio="962" activeTab="4"/>
  </bookViews>
  <sheets>
    <sheet name="SUMÁŘ" sheetId="2" r:id="rId1"/>
    <sheet name="95_F1a" sheetId="1" r:id="rId2"/>
    <sheet name="95_F1b_Rozvojova pece" sheetId="6" r:id="rId3"/>
    <sheet name="95_F1c_Závlaha" sheetId="10" r:id="rId4"/>
    <sheet name="95_F1d_Kanalizace" sheetId="11" r:id="rId5"/>
    <sheet name="95_F2a" sheetId="3" r:id="rId6"/>
    <sheet name="95_F2b_Rozvojova pece" sheetId="7" r:id="rId7"/>
  </sheets>
  <externalReferences>
    <externalReference r:id="rId8"/>
  </externalReferences>
  <definedNames>
    <definedName name="_xlnm.Print_Titles" localSheetId="1">'95_F1a'!$10:$11</definedName>
    <definedName name="_xlnm.Print_Area" localSheetId="1">'95_F1a'!$A$1:$G$201</definedName>
    <definedName name="_xlnm.Print_Area" localSheetId="3">'95_F1c_Závlaha'!$A$1:$G$112</definedName>
    <definedName name="_xlnm.Print_Area" localSheetId="5">'95_F2a'!$A$1:$G$160</definedName>
  </definedNames>
  <calcPr calcId="124519"/>
</workbook>
</file>

<file path=xl/calcChain.xml><?xml version="1.0" encoding="utf-8"?>
<calcChain xmlns="http://schemas.openxmlformats.org/spreadsheetml/2006/main">
  <c r="E112" i="1"/>
  <c r="E109"/>
  <c r="E104"/>
  <c r="E97"/>
  <c r="E77"/>
  <c r="E87" i="3"/>
  <c r="E84"/>
  <c r="E81"/>
  <c r="E64"/>
  <c r="D19" i="6" l="1"/>
  <c r="D20" s="1"/>
  <c r="D23" l="1"/>
  <c r="D22"/>
  <c r="D21"/>
  <c r="H87" i="11" l="1"/>
  <c r="J87" s="1"/>
  <c r="H83"/>
  <c r="H85" s="1"/>
  <c r="E26" i="3"/>
  <c r="G26" s="1"/>
  <c r="G95"/>
  <c r="G40"/>
  <c r="G116" i="1"/>
  <c r="G67"/>
  <c r="E27" i="3" l="1"/>
  <c r="G27" s="1"/>
  <c r="G45" i="1" l="1"/>
  <c r="G44"/>
  <c r="G43"/>
  <c r="L85" i="11"/>
  <c r="L83"/>
  <c r="F111" i="10"/>
  <c r="F112"/>
  <c r="F110"/>
  <c r="H23" i="6" l="1"/>
  <c r="D7"/>
  <c r="H7" s="1"/>
  <c r="D12"/>
  <c r="H12" s="1"/>
  <c r="D14"/>
  <c r="H14" s="1"/>
  <c r="H19"/>
  <c r="H20"/>
  <c r="H21"/>
  <c r="H22"/>
  <c r="D7" i="7"/>
  <c r="D8" s="1"/>
  <c r="D12"/>
  <c r="H12" s="1"/>
  <c r="D14"/>
  <c r="D15" s="1"/>
  <c r="G199" i="1"/>
  <c r="G200"/>
  <c r="G201"/>
  <c r="G194"/>
  <c r="G46"/>
  <c r="G47"/>
  <c r="G48"/>
  <c r="G49"/>
  <c r="G53"/>
  <c r="G54"/>
  <c r="G55"/>
  <c r="G56"/>
  <c r="G57"/>
  <c r="G58"/>
  <c r="G59"/>
  <c r="G60"/>
  <c r="G61"/>
  <c r="G62"/>
  <c r="G63"/>
  <c r="G64"/>
  <c r="G65"/>
  <c r="G31" i="3"/>
  <c r="G32"/>
  <c r="G37"/>
  <c r="G38"/>
  <c r="G39"/>
  <c r="G30"/>
  <c r="G94"/>
  <c r="G93" s="1"/>
  <c r="G16"/>
  <c r="E17"/>
  <c r="G19"/>
  <c r="G20"/>
  <c r="E21"/>
  <c r="E22" s="1"/>
  <c r="E23"/>
  <c r="G23" s="1"/>
  <c r="E24"/>
  <c r="G24" s="1"/>
  <c r="E33"/>
  <c r="G33" s="1"/>
  <c r="E34"/>
  <c r="G34" s="1"/>
  <c r="G43"/>
  <c r="E44"/>
  <c r="G44" s="1"/>
  <c r="E45"/>
  <c r="G45" s="1"/>
  <c r="E47"/>
  <c r="G47" s="1"/>
  <c r="E49"/>
  <c r="G49" s="1"/>
  <c r="E51"/>
  <c r="G55"/>
  <c r="E56"/>
  <c r="G56" s="1"/>
  <c r="E57"/>
  <c r="G57" s="1"/>
  <c r="E59"/>
  <c r="G59" s="1"/>
  <c r="E61"/>
  <c r="G61" s="1"/>
  <c r="E63"/>
  <c r="G63" s="1"/>
  <c r="G67"/>
  <c r="G69"/>
  <c r="E70"/>
  <c r="G70" s="1"/>
  <c r="G72"/>
  <c r="E73"/>
  <c r="G73" s="1"/>
  <c r="E74"/>
  <c r="G74" s="1"/>
  <c r="E76"/>
  <c r="G76" s="1"/>
  <c r="E78"/>
  <c r="G78" s="1"/>
  <c r="G80"/>
  <c r="G81"/>
  <c r="G83"/>
  <c r="G84"/>
  <c r="G86"/>
  <c r="G87"/>
  <c r="G88"/>
  <c r="G90"/>
  <c r="G91"/>
  <c r="G92"/>
  <c r="G97"/>
  <c r="E98"/>
  <c r="G98" s="1"/>
  <c r="E99"/>
  <c r="G99" s="1"/>
  <c r="E100"/>
  <c r="G100" s="1"/>
  <c r="G102"/>
  <c r="G103"/>
  <c r="E104"/>
  <c r="G104" s="1"/>
  <c r="G105"/>
  <c r="G106"/>
  <c r="E107"/>
  <c r="G107" s="1"/>
  <c r="G108"/>
  <c r="G109"/>
  <c r="G110"/>
  <c r="G111"/>
  <c r="G112"/>
  <c r="G113"/>
  <c r="G114"/>
  <c r="G115"/>
  <c r="E116"/>
  <c r="G116" s="1"/>
  <c r="G117"/>
  <c r="G118"/>
  <c r="G119"/>
  <c r="G120"/>
  <c r="G121"/>
  <c r="G122"/>
  <c r="G123"/>
  <c r="G124"/>
  <c r="G125"/>
  <c r="E126"/>
  <c r="G126" s="1"/>
  <c r="E127"/>
  <c r="G127" s="1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E146"/>
  <c r="G146" s="1"/>
  <c r="G149"/>
  <c r="G151"/>
  <c r="G152"/>
  <c r="G159"/>
  <c r="G160"/>
  <c r="G70" i="1"/>
  <c r="G71"/>
  <c r="G72"/>
  <c r="G73"/>
  <c r="G74"/>
  <c r="G75"/>
  <c r="G76"/>
  <c r="G77"/>
  <c r="E78"/>
  <c r="G78" s="1"/>
  <c r="G80"/>
  <c r="G81"/>
  <c r="G82"/>
  <c r="G83"/>
  <c r="G85"/>
  <c r="G86"/>
  <c r="G87"/>
  <c r="G88"/>
  <c r="G89"/>
  <c r="G90"/>
  <c r="G92"/>
  <c r="G93"/>
  <c r="G94"/>
  <c r="G95"/>
  <c r="G96"/>
  <c r="G97"/>
  <c r="E99"/>
  <c r="G99"/>
  <c r="E100"/>
  <c r="G100" s="1"/>
  <c r="G101"/>
  <c r="E102"/>
  <c r="G102" s="1"/>
  <c r="G103"/>
  <c r="G104"/>
  <c r="G106"/>
  <c r="E107"/>
  <c r="G107" s="1"/>
  <c r="G108"/>
  <c r="G109"/>
  <c r="G111"/>
  <c r="G112"/>
  <c r="G16"/>
  <c r="G17"/>
  <c r="G18"/>
  <c r="E19"/>
  <c r="G19"/>
  <c r="G20"/>
  <c r="G21"/>
  <c r="G22"/>
  <c r="E23"/>
  <c r="G23" s="1"/>
  <c r="G24"/>
  <c r="E25"/>
  <c r="G25" s="1"/>
  <c r="G26"/>
  <c r="G27"/>
  <c r="E28"/>
  <c r="G28" s="1"/>
  <c r="G29"/>
  <c r="G30"/>
  <c r="G31"/>
  <c r="E32"/>
  <c r="G32" s="1"/>
  <c r="G33"/>
  <c r="G34"/>
  <c r="G35"/>
  <c r="E36"/>
  <c r="G36" s="1"/>
  <c r="G37"/>
  <c r="G38"/>
  <c r="G39"/>
  <c r="E40"/>
  <c r="G40" s="1"/>
  <c r="G41"/>
  <c r="E50"/>
  <c r="G50" s="1"/>
  <c r="G66"/>
  <c r="E114"/>
  <c r="G114" s="1"/>
  <c r="E117"/>
  <c r="G117" s="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E139"/>
  <c r="G139" s="1"/>
  <c r="G140"/>
  <c r="G141"/>
  <c r="G142"/>
  <c r="G143"/>
  <c r="E144"/>
  <c r="G144" s="1"/>
  <c r="G145"/>
  <c r="G146"/>
  <c r="E147"/>
  <c r="G147" s="1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E165"/>
  <c r="E181" s="1"/>
  <c r="E166"/>
  <c r="G166" s="1"/>
  <c r="G167"/>
  <c r="G168"/>
  <c r="G169"/>
  <c r="G170"/>
  <c r="G171"/>
  <c r="G172"/>
  <c r="G173"/>
  <c r="G174"/>
  <c r="G175"/>
  <c r="G176"/>
  <c r="G177"/>
  <c r="G178"/>
  <c r="G179"/>
  <c r="E180"/>
  <c r="G180" s="1"/>
  <c r="G183"/>
  <c r="G185"/>
  <c r="G186"/>
  <c r="G187"/>
  <c r="G188"/>
  <c r="G189"/>
  <c r="G190"/>
  <c r="G191"/>
  <c r="G192"/>
  <c r="BK234" i="11"/>
  <c r="BK236"/>
  <c r="BK239"/>
  <c r="BK238" s="1"/>
  <c r="J238" s="1"/>
  <c r="J210" s="1"/>
  <c r="BK242"/>
  <c r="BK241" s="1"/>
  <c r="J241" s="1"/>
  <c r="J211" s="1"/>
  <c r="BK51"/>
  <c r="BK53"/>
  <c r="BK55"/>
  <c r="BK79"/>
  <c r="BK81"/>
  <c r="BK83"/>
  <c r="BK85"/>
  <c r="BK88"/>
  <c r="BK90"/>
  <c r="BK93"/>
  <c r="BK97"/>
  <c r="BK99"/>
  <c r="BK102"/>
  <c r="BK101" s="1"/>
  <c r="BK105"/>
  <c r="BK107"/>
  <c r="BK109"/>
  <c r="BK112"/>
  <c r="BK114"/>
  <c r="BK116"/>
  <c r="BK118"/>
  <c r="BK120"/>
  <c r="BK123"/>
  <c r="BK125"/>
  <c r="BK127"/>
  <c r="BK129"/>
  <c r="BK131"/>
  <c r="BK133"/>
  <c r="BK135"/>
  <c r="BK137"/>
  <c r="BK140"/>
  <c r="BK143"/>
  <c r="BK146"/>
  <c r="BK149"/>
  <c r="BK152"/>
  <c r="BK154"/>
  <c r="BK156"/>
  <c r="BK158"/>
  <c r="BK160"/>
  <c r="BK162"/>
  <c r="BK164"/>
  <c r="BK166"/>
  <c r="BK168"/>
  <c r="BK170"/>
  <c r="BK171"/>
  <c r="BK173"/>
  <c r="BK175"/>
  <c r="BK178"/>
  <c r="BK181"/>
  <c r="BK183"/>
  <c r="BK185"/>
  <c r="BK188"/>
  <c r="BK187" s="1"/>
  <c r="J187" s="1"/>
  <c r="J28" s="1"/>
  <c r="BI242"/>
  <c r="BH242"/>
  <c r="BG242"/>
  <c r="BF242"/>
  <c r="T242"/>
  <c r="T241" s="1"/>
  <c r="R242"/>
  <c r="R241" s="1"/>
  <c r="P242"/>
  <c r="P241" s="1"/>
  <c r="J242"/>
  <c r="BE242" s="1"/>
  <c r="BI239"/>
  <c r="BH239"/>
  <c r="BG239"/>
  <c r="BF239"/>
  <c r="T239"/>
  <c r="T238" s="1"/>
  <c r="T234"/>
  <c r="T236"/>
  <c r="R239"/>
  <c r="R238" s="1"/>
  <c r="P239"/>
  <c r="P238" s="1"/>
  <c r="J239"/>
  <c r="BE239" s="1"/>
  <c r="BI236"/>
  <c r="BH236"/>
  <c r="BG236"/>
  <c r="BF236"/>
  <c r="R236"/>
  <c r="R234"/>
  <c r="P236"/>
  <c r="J236"/>
  <c r="BE236" s="1"/>
  <c r="BI234"/>
  <c r="BH234"/>
  <c r="BG234"/>
  <c r="BF234"/>
  <c r="P234"/>
  <c r="J234"/>
  <c r="BE234" s="1"/>
  <c r="J228"/>
  <c r="F228"/>
  <c r="J227"/>
  <c r="F227"/>
  <c r="F225"/>
  <c r="E223"/>
  <c r="E221"/>
  <c r="J203"/>
  <c r="F203"/>
  <c r="J202"/>
  <c r="F202"/>
  <c r="F200"/>
  <c r="E198"/>
  <c r="E196"/>
  <c r="BI188"/>
  <c r="BH188"/>
  <c r="BG188"/>
  <c r="BF188"/>
  <c r="T188"/>
  <c r="T187" s="1"/>
  <c r="R188"/>
  <c r="R187" s="1"/>
  <c r="P188"/>
  <c r="P187" s="1"/>
  <c r="J188"/>
  <c r="BE188" s="1"/>
  <c r="BI185"/>
  <c r="BH185"/>
  <c r="BG185"/>
  <c r="BF185"/>
  <c r="T185"/>
  <c r="R185"/>
  <c r="P185"/>
  <c r="J185"/>
  <c r="BE185" s="1"/>
  <c r="BI183"/>
  <c r="BH183"/>
  <c r="BG183"/>
  <c r="BF183"/>
  <c r="T183"/>
  <c r="R183"/>
  <c r="P183"/>
  <c r="J183"/>
  <c r="BE183" s="1"/>
  <c r="BI181"/>
  <c r="BH181"/>
  <c r="BG181"/>
  <c r="BF181"/>
  <c r="T181"/>
  <c r="R181"/>
  <c r="R180" s="1"/>
  <c r="P181"/>
  <c r="J181"/>
  <c r="J180" s="1"/>
  <c r="T180"/>
  <c r="BI178"/>
  <c r="BH178"/>
  <c r="BG178"/>
  <c r="BF178"/>
  <c r="T178"/>
  <c r="R178"/>
  <c r="P178"/>
  <c r="J178"/>
  <c r="BE178" s="1"/>
  <c r="BI175"/>
  <c r="BH175"/>
  <c r="BG175"/>
  <c r="BF175"/>
  <c r="T175"/>
  <c r="R175"/>
  <c r="P175"/>
  <c r="J175"/>
  <c r="BE175" s="1"/>
  <c r="BI173"/>
  <c r="BH173"/>
  <c r="BG173"/>
  <c r="BF173"/>
  <c r="T173"/>
  <c r="R173"/>
  <c r="P173"/>
  <c r="J173"/>
  <c r="BE173" s="1"/>
  <c r="BI171"/>
  <c r="BH171"/>
  <c r="BG171"/>
  <c r="BF171"/>
  <c r="T171"/>
  <c r="R171"/>
  <c r="P171"/>
  <c r="J171"/>
  <c r="BE171" s="1"/>
  <c r="BI170"/>
  <c r="BH170"/>
  <c r="BG170"/>
  <c r="BF170"/>
  <c r="T170"/>
  <c r="R170"/>
  <c r="P170"/>
  <c r="J170"/>
  <c r="BE170" s="1"/>
  <c r="BI168"/>
  <c r="BH168"/>
  <c r="BG168"/>
  <c r="BF168"/>
  <c r="T168"/>
  <c r="R168"/>
  <c r="P168"/>
  <c r="J168"/>
  <c r="BE168" s="1"/>
  <c r="BI166"/>
  <c r="BH166"/>
  <c r="BG166"/>
  <c r="BF166"/>
  <c r="T166"/>
  <c r="R166"/>
  <c r="P166"/>
  <c r="J166"/>
  <c r="BE166" s="1"/>
  <c r="BI164"/>
  <c r="BH164"/>
  <c r="BG164"/>
  <c r="BF164"/>
  <c r="T164"/>
  <c r="R164"/>
  <c r="P164"/>
  <c r="J164"/>
  <c r="BE164" s="1"/>
  <c r="BI162"/>
  <c r="BH162"/>
  <c r="BG162"/>
  <c r="BF162"/>
  <c r="T162"/>
  <c r="R162"/>
  <c r="P162"/>
  <c r="J162"/>
  <c r="BE162" s="1"/>
  <c r="BI160"/>
  <c r="BH160"/>
  <c r="BG160"/>
  <c r="BF160"/>
  <c r="T160"/>
  <c r="R160"/>
  <c r="P160"/>
  <c r="J160"/>
  <c r="BE160" s="1"/>
  <c r="BI158"/>
  <c r="BH158"/>
  <c r="BG158"/>
  <c r="BF158"/>
  <c r="T158"/>
  <c r="R158"/>
  <c r="P158"/>
  <c r="J158"/>
  <c r="BE158" s="1"/>
  <c r="BI156"/>
  <c r="BH156"/>
  <c r="BG156"/>
  <c r="BF156"/>
  <c r="T156"/>
  <c r="R156"/>
  <c r="P156"/>
  <c r="J156"/>
  <c r="BE156" s="1"/>
  <c r="BI154"/>
  <c r="BH154"/>
  <c r="BG154"/>
  <c r="BF154"/>
  <c r="T154"/>
  <c r="R154"/>
  <c r="P154"/>
  <c r="J154"/>
  <c r="BE154" s="1"/>
  <c r="BI152"/>
  <c r="BH152"/>
  <c r="BG152"/>
  <c r="BF152"/>
  <c r="T152"/>
  <c r="R152"/>
  <c r="P152"/>
  <c r="J152"/>
  <c r="BE152" s="1"/>
  <c r="BI149"/>
  <c r="BH149"/>
  <c r="BG149"/>
  <c r="BF149"/>
  <c r="T149"/>
  <c r="R149"/>
  <c r="P149"/>
  <c r="J149"/>
  <c r="BE149" s="1"/>
  <c r="BI146"/>
  <c r="BH146"/>
  <c r="BG146"/>
  <c r="BF146"/>
  <c r="T146"/>
  <c r="R146"/>
  <c r="P146"/>
  <c r="J146"/>
  <c r="BE146" s="1"/>
  <c r="BI143"/>
  <c r="BH143"/>
  <c r="BG143"/>
  <c r="BF143"/>
  <c r="T143"/>
  <c r="R143"/>
  <c r="P143"/>
  <c r="J143"/>
  <c r="BE143" s="1"/>
  <c r="BI140"/>
  <c r="BH140"/>
  <c r="BG140"/>
  <c r="BF140"/>
  <c r="T140"/>
  <c r="R140"/>
  <c r="P140"/>
  <c r="J140"/>
  <c r="BE140" s="1"/>
  <c r="BI137"/>
  <c r="BH137"/>
  <c r="BG137"/>
  <c r="BF137"/>
  <c r="T137"/>
  <c r="R137"/>
  <c r="P137"/>
  <c r="J137"/>
  <c r="BE137" s="1"/>
  <c r="BI135"/>
  <c r="BH135"/>
  <c r="BG135"/>
  <c r="BF135"/>
  <c r="T135"/>
  <c r="R135"/>
  <c r="P135"/>
  <c r="J135"/>
  <c r="BE135" s="1"/>
  <c r="BI133"/>
  <c r="BH133"/>
  <c r="BG133"/>
  <c r="BF133"/>
  <c r="T133"/>
  <c r="R133"/>
  <c r="P133"/>
  <c r="J133"/>
  <c r="BE133" s="1"/>
  <c r="BI131"/>
  <c r="BH131"/>
  <c r="BG131"/>
  <c r="BF131"/>
  <c r="T131"/>
  <c r="R131"/>
  <c r="P131"/>
  <c r="J131"/>
  <c r="BE131" s="1"/>
  <c r="BI129"/>
  <c r="BH129"/>
  <c r="BG129"/>
  <c r="BF129"/>
  <c r="T129"/>
  <c r="R129"/>
  <c r="P129"/>
  <c r="J129"/>
  <c r="BE129" s="1"/>
  <c r="BI127"/>
  <c r="BH127"/>
  <c r="BG127"/>
  <c r="BF127"/>
  <c r="T127"/>
  <c r="R127"/>
  <c r="P127"/>
  <c r="J127"/>
  <c r="BE127" s="1"/>
  <c r="BI125"/>
  <c r="BH125"/>
  <c r="BG125"/>
  <c r="BF125"/>
  <c r="T125"/>
  <c r="R125"/>
  <c r="P125"/>
  <c r="J125"/>
  <c r="BE125" s="1"/>
  <c r="BI123"/>
  <c r="BH123"/>
  <c r="BG123"/>
  <c r="BF123"/>
  <c r="T123"/>
  <c r="R123"/>
  <c r="P123"/>
  <c r="J123"/>
  <c r="BE123" s="1"/>
  <c r="BI120"/>
  <c r="BH120"/>
  <c r="BG120"/>
  <c r="BF120"/>
  <c r="T120"/>
  <c r="R120"/>
  <c r="P120"/>
  <c r="J120"/>
  <c r="BE120" s="1"/>
  <c r="BI118"/>
  <c r="BH118"/>
  <c r="BG118"/>
  <c r="BF118"/>
  <c r="T118"/>
  <c r="R118"/>
  <c r="P118"/>
  <c r="J118"/>
  <c r="BE118" s="1"/>
  <c r="BI116"/>
  <c r="BH116"/>
  <c r="BG116"/>
  <c r="BF116"/>
  <c r="T116"/>
  <c r="R116"/>
  <c r="P116"/>
  <c r="J116"/>
  <c r="BE116" s="1"/>
  <c r="BI114"/>
  <c r="BH114"/>
  <c r="BG114"/>
  <c r="BF114"/>
  <c r="T114"/>
  <c r="R114"/>
  <c r="P114"/>
  <c r="J114"/>
  <c r="BE114" s="1"/>
  <c r="BI112"/>
  <c r="BH112"/>
  <c r="BG112"/>
  <c r="BF112"/>
  <c r="T112"/>
  <c r="R112"/>
  <c r="P112"/>
  <c r="J112"/>
  <c r="BE112" s="1"/>
  <c r="BI109"/>
  <c r="BH109"/>
  <c r="BG109"/>
  <c r="BF109"/>
  <c r="T109"/>
  <c r="R109"/>
  <c r="P109"/>
  <c r="J109"/>
  <c r="BE109" s="1"/>
  <c r="BI107"/>
  <c r="BH107"/>
  <c r="BG107"/>
  <c r="BF107"/>
  <c r="T107"/>
  <c r="R107"/>
  <c r="P107"/>
  <c r="J107"/>
  <c r="BE107" s="1"/>
  <c r="BI105"/>
  <c r="BH105"/>
  <c r="BG105"/>
  <c r="BF105"/>
  <c r="T105"/>
  <c r="R105"/>
  <c r="P105"/>
  <c r="J105"/>
  <c r="BE105" s="1"/>
  <c r="BI102"/>
  <c r="BH102"/>
  <c r="BG102"/>
  <c r="BF102"/>
  <c r="T102"/>
  <c r="T101" s="1"/>
  <c r="R102"/>
  <c r="R101" s="1"/>
  <c r="P102"/>
  <c r="P101" s="1"/>
  <c r="J102"/>
  <c r="BE102" s="1"/>
  <c r="BI99"/>
  <c r="BH99"/>
  <c r="BG99"/>
  <c r="BF99"/>
  <c r="T99"/>
  <c r="R99"/>
  <c r="P99"/>
  <c r="J99"/>
  <c r="BE99" s="1"/>
  <c r="BI97"/>
  <c r="BH97"/>
  <c r="BG97"/>
  <c r="BF97"/>
  <c r="T97"/>
  <c r="T96" s="1"/>
  <c r="R97"/>
  <c r="R96"/>
  <c r="P97"/>
  <c r="J97"/>
  <c r="BI93"/>
  <c r="BH93"/>
  <c r="BG93"/>
  <c r="BF93"/>
  <c r="T93"/>
  <c r="R93"/>
  <c r="P93"/>
  <c r="J93"/>
  <c r="BE93" s="1"/>
  <c r="BI90"/>
  <c r="BH90"/>
  <c r="BG90"/>
  <c r="BF90"/>
  <c r="T90"/>
  <c r="R90"/>
  <c r="P90"/>
  <c r="J90"/>
  <c r="BE90" s="1"/>
  <c r="BI88"/>
  <c r="BH88"/>
  <c r="BG88"/>
  <c r="BF88"/>
  <c r="T88"/>
  <c r="R88"/>
  <c r="P88"/>
  <c r="J88"/>
  <c r="BE88" s="1"/>
  <c r="BI85"/>
  <c r="BH85"/>
  <c r="BG85"/>
  <c r="BF85"/>
  <c r="T85"/>
  <c r="R85"/>
  <c r="P85"/>
  <c r="J85"/>
  <c r="BE85" s="1"/>
  <c r="BI83"/>
  <c r="BH83"/>
  <c r="BG83"/>
  <c r="BF83"/>
  <c r="T83"/>
  <c r="R83"/>
  <c r="P83"/>
  <c r="J83"/>
  <c r="BE83" s="1"/>
  <c r="BI81"/>
  <c r="BH81"/>
  <c r="BG81"/>
  <c r="BF81"/>
  <c r="T81"/>
  <c r="R81"/>
  <c r="P81"/>
  <c r="J81"/>
  <c r="BE81" s="1"/>
  <c r="BI79"/>
  <c r="BH79"/>
  <c r="BG79"/>
  <c r="BF79"/>
  <c r="T79"/>
  <c r="R79"/>
  <c r="P79"/>
  <c r="J79"/>
  <c r="BE79" s="1"/>
  <c r="BI55"/>
  <c r="BH55"/>
  <c r="BG55"/>
  <c r="BF55"/>
  <c r="T55"/>
  <c r="R55"/>
  <c r="P55"/>
  <c r="J55"/>
  <c r="BE55" s="1"/>
  <c r="BI53"/>
  <c r="BH53"/>
  <c r="BG53"/>
  <c r="BF53"/>
  <c r="T53"/>
  <c r="R53"/>
  <c r="P53"/>
  <c r="P51"/>
  <c r="J53"/>
  <c r="BE53" s="1"/>
  <c r="BI51"/>
  <c r="BH51"/>
  <c r="BG51"/>
  <c r="BF51"/>
  <c r="T51"/>
  <c r="R51"/>
  <c r="J51"/>
  <c r="F16" i="10"/>
  <c r="F17"/>
  <c r="F18"/>
  <c r="F19"/>
  <c r="F20"/>
  <c r="F21"/>
  <c r="F22"/>
  <c r="F23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9"/>
  <c r="F60"/>
  <c r="F61"/>
  <c r="F62"/>
  <c r="F63"/>
  <c r="F64"/>
  <c r="F65"/>
  <c r="F66"/>
  <c r="F67"/>
  <c r="F68"/>
  <c r="F70"/>
  <c r="F71"/>
  <c r="F72"/>
  <c r="F73"/>
  <c r="F74"/>
  <c r="F75"/>
  <c r="F76"/>
  <c r="F77"/>
  <c r="F78"/>
  <c r="F79"/>
  <c r="F80"/>
  <c r="F81"/>
  <c r="F83"/>
  <c r="F84"/>
  <c r="F85"/>
  <c r="F86"/>
  <c r="F87"/>
  <c r="F88"/>
  <c r="F89"/>
  <c r="F90"/>
  <c r="F91"/>
  <c r="F92"/>
  <c r="F93"/>
  <c r="F95"/>
  <c r="F96"/>
  <c r="F97"/>
  <c r="F98"/>
  <c r="F99"/>
  <c r="F100"/>
  <c r="F102"/>
  <c r="F103"/>
  <c r="F105"/>
  <c r="F106"/>
  <c r="F107"/>
  <c r="F108"/>
  <c r="F109"/>
  <c r="H12" i="2"/>
  <c r="G154" i="3"/>
  <c r="E120" i="1"/>
  <c r="G120" s="1"/>
  <c r="G119" s="1"/>
  <c r="BK233" i="11" l="1"/>
  <c r="BK232" s="1"/>
  <c r="J225"/>
  <c r="J200"/>
  <c r="G51" i="3"/>
  <c r="E52"/>
  <c r="P96" i="11"/>
  <c r="BK96"/>
  <c r="G165" i="1"/>
  <c r="E60" i="3"/>
  <c r="G60" s="1"/>
  <c r="BE51" i="11"/>
  <c r="J50"/>
  <c r="BE97"/>
  <c r="J96"/>
  <c r="J104"/>
  <c r="F13" i="10"/>
  <c r="C16" i="2" s="1"/>
  <c r="BE181" i="11"/>
  <c r="E65" i="3"/>
  <c r="E147"/>
  <c r="E148" s="1"/>
  <c r="G148" s="1"/>
  <c r="T104" i="11"/>
  <c r="T233"/>
  <c r="T232" s="1"/>
  <c r="T231" s="1"/>
  <c r="BK104"/>
  <c r="R104"/>
  <c r="P104"/>
  <c r="P180"/>
  <c r="P233"/>
  <c r="P232" s="1"/>
  <c r="P231" s="1"/>
  <c r="BK180"/>
  <c r="J27" s="1"/>
  <c r="T50"/>
  <c r="T49" s="1"/>
  <c r="T48" s="1"/>
  <c r="R233"/>
  <c r="R232" s="1"/>
  <c r="R231" s="1"/>
  <c r="BK50"/>
  <c r="P50"/>
  <c r="R50"/>
  <c r="E62" i="3"/>
  <c r="G62" s="1"/>
  <c r="E58"/>
  <c r="G58" s="1"/>
  <c r="E18"/>
  <c r="G18" s="1"/>
  <c r="G184" i="1"/>
  <c r="G64" i="3"/>
  <c r="G17"/>
  <c r="E35"/>
  <c r="G35" s="1"/>
  <c r="G150"/>
  <c r="G89"/>
  <c r="E36"/>
  <c r="G36" s="1"/>
  <c r="G21"/>
  <c r="D15" i="6"/>
  <c r="D16" s="1"/>
  <c r="D17" s="1"/>
  <c r="H17" s="1"/>
  <c r="D16" i="7"/>
  <c r="D17" s="1"/>
  <c r="H17" s="1"/>
  <c r="H15"/>
  <c r="D10" i="6"/>
  <c r="H10" s="1"/>
  <c r="H14" i="7"/>
  <c r="H7"/>
  <c r="D8" i="6"/>
  <c r="H8" s="1"/>
  <c r="E66" i="3"/>
  <c r="G66" s="1"/>
  <c r="G65"/>
  <c r="E25"/>
  <c r="G25" s="1"/>
  <c r="G22"/>
  <c r="D9" i="7"/>
  <c r="H9" s="1"/>
  <c r="H8"/>
  <c r="G14" i="1"/>
  <c r="J101" i="11"/>
  <c r="J25" s="1"/>
  <c r="E182" i="1"/>
  <c r="G182" s="1"/>
  <c r="G181"/>
  <c r="G68"/>
  <c r="E118"/>
  <c r="G118" s="1"/>
  <c r="E115"/>
  <c r="G115" s="1"/>
  <c r="E52"/>
  <c r="G52" s="1"/>
  <c r="E101" i="3"/>
  <c r="G101" s="1"/>
  <c r="E79"/>
  <c r="G79" s="1"/>
  <c r="E77"/>
  <c r="G77" s="1"/>
  <c r="E75"/>
  <c r="G75" s="1"/>
  <c r="E50"/>
  <c r="G50" s="1"/>
  <c r="E48"/>
  <c r="G48" s="1"/>
  <c r="E46"/>
  <c r="G46" s="1"/>
  <c r="G147"/>
  <c r="E51" i="1"/>
  <c r="G51" s="1"/>
  <c r="D10" i="7"/>
  <c r="H10" s="1"/>
  <c r="J26" i="11" l="1"/>
  <c r="J233"/>
  <c r="J209" s="1"/>
  <c r="J208" s="1"/>
  <c r="J207" s="1"/>
  <c r="C18" i="2" s="1"/>
  <c r="G42" i="1"/>
  <c r="J24" i="11"/>
  <c r="J23"/>
  <c r="J49"/>
  <c r="J48" s="1"/>
  <c r="G96" i="3"/>
  <c r="P49" i="11"/>
  <c r="P48" s="1"/>
  <c r="G14" i="3"/>
  <c r="BK49" i="11"/>
  <c r="BK48" s="1"/>
  <c r="R49"/>
  <c r="R48" s="1"/>
  <c r="G121" i="1"/>
  <c r="G113"/>
  <c r="H15" i="6"/>
  <c r="H16"/>
  <c r="D9"/>
  <c r="H9" s="1"/>
  <c r="H16" i="7"/>
  <c r="H19" s="1"/>
  <c r="BK231" i="11"/>
  <c r="J231" s="1"/>
  <c r="J232"/>
  <c r="E53" i="3"/>
  <c r="G53" s="1"/>
  <c r="G41" s="1"/>
  <c r="G13" s="1"/>
  <c r="G52"/>
  <c r="H25" i="6" l="1"/>
  <c r="C15" i="2" s="1"/>
  <c r="J22" i="11"/>
  <c r="G13" i="1"/>
  <c r="G195" s="1"/>
  <c r="H20" i="7"/>
  <c r="H21" s="1"/>
  <c r="C22" i="2"/>
  <c r="G155" i="3"/>
  <c r="G157"/>
  <c r="C20" i="2"/>
  <c r="G156" i="3"/>
  <c r="G158"/>
  <c r="C17" i="2"/>
  <c r="J21" i="11"/>
  <c r="G197" i="1" l="1"/>
  <c r="C13" i="2"/>
  <c r="G196" i="1"/>
  <c r="H26" i="6"/>
  <c r="H27" s="1"/>
  <c r="G198" i="1"/>
  <c r="G153" i="3"/>
  <c r="C21" i="2" s="1"/>
  <c r="C19" s="1"/>
  <c r="G193" i="1" l="1"/>
  <c r="C14" i="2" s="1"/>
  <c r="C12" s="1"/>
  <c r="C26" s="1"/>
  <c r="C27" l="1"/>
  <c r="C28" s="1"/>
</calcChain>
</file>

<file path=xl/comments1.xml><?xml version="1.0" encoding="utf-8"?>
<comments xmlns="http://schemas.openxmlformats.org/spreadsheetml/2006/main">
  <authors>
    <author>Tereza M</author>
  </authors>
  <commentList>
    <comment ref="E16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doplnění 25m2 z uskladnění na konci pozemku</t>
        </r>
      </text>
    </comment>
    <comment ref="C77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doplněn ref. Výrobek, a upřesnění rozměru</t>
        </r>
      </text>
    </comment>
    <comment ref="C97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úprava rozměru dlaždice dle projektu</t>
        </r>
      </text>
    </comment>
    <comment ref="C113" authorId="0">
      <text>
        <r>
          <rPr>
            <b/>
            <sz val="9"/>
            <color indexed="81"/>
            <rFont val="Tahoma"/>
            <family val="2"/>
          </rPr>
          <t>Tereza M:</t>
        </r>
        <r>
          <rPr>
            <sz val="9"/>
            <color indexed="81"/>
            <rFont val="Tahoma"/>
            <family val="2"/>
          </rPr>
          <t xml:space="preserve">
je třeba zohlednit, že bude doprava materiálu probíhat automobily do 8t - dá se to nějak zohlednit. (Pro dopravu je nutno počítat s automobily do 8 tun kvůli omezeným podmínkám – je třeba to zohlednit ve výkazu výměr.)</t>
        </r>
      </text>
    </comment>
    <comment ref="E145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1ks není označen v plánu kodem. Pozice u budoucí branky</t>
        </r>
      </text>
    </comment>
  </commentList>
</comments>
</file>

<file path=xl/comments2.xml><?xml version="1.0" encoding="utf-8"?>
<comments xmlns="http://schemas.openxmlformats.org/spreadsheetml/2006/main">
  <authors>
    <author>Tereza M</author>
  </authors>
  <commentList>
    <comment ref="A57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zvýšení výměry na 250bm</t>
        </r>
      </text>
    </comment>
  </commentList>
</comments>
</file>

<file path=xl/comments3.xml><?xml version="1.0" encoding="utf-8"?>
<comments xmlns="http://schemas.openxmlformats.org/spreadsheetml/2006/main">
  <authors>
    <author>Tereza M</author>
  </authors>
  <commentList>
    <comment ref="C52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doplněn ref. Výrobek, a upřesnění rozměru</t>
        </r>
      </text>
    </comment>
    <comment ref="C64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doplněn ref. Výrobek, a upřesnění rozměru</t>
        </r>
      </text>
    </comment>
    <comment ref="C81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doplnění referenčního výrobku; zakázková výroba - nemá vliv na cenu, pouze na termín dodání</t>
        </r>
      </text>
    </comment>
    <comment ref="E114" authorId="0">
      <text>
        <r>
          <rPr>
            <b/>
            <sz val="9"/>
            <color indexed="81"/>
            <rFont val="Tahoma"/>
            <family val="2"/>
            <charset val="238"/>
          </rPr>
          <t>Tereza M:</t>
        </r>
        <r>
          <rPr>
            <sz val="9"/>
            <color indexed="81"/>
            <rFont val="Tahoma"/>
            <family val="2"/>
            <charset val="238"/>
          </rPr>
          <t xml:space="preserve">
úprava na počet 1ks</t>
        </r>
      </text>
    </comment>
  </commentList>
</comments>
</file>

<file path=xl/sharedStrings.xml><?xml version="1.0" encoding="utf-8"?>
<sst xmlns="http://schemas.openxmlformats.org/spreadsheetml/2006/main" count="2957" uniqueCount="861">
  <si>
    <t>KALKULACE</t>
  </si>
  <si>
    <t xml:space="preserve">Objekt:   </t>
  </si>
  <si>
    <t>Objednatel :   Český rozhlas Regina</t>
  </si>
  <si>
    <t xml:space="preserve">Zhotovitel :   </t>
  </si>
  <si>
    <t>Zpracoval:   Ing. Tereza Mácová</t>
  </si>
  <si>
    <t>Místo:   Hybešova 4, katastrální území Karlín [73055], čísl</t>
  </si>
  <si>
    <t>Datum:   10. 5. 2021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</si>
  <si>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</si>
  <si>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</si>
  <si>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</si>
  <si>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</si>
  <si>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</si>
  <si>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</si>
  <si>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</si>
  <si>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Materiál celkem</t>
  </si>
  <si>
    <t>Mzdy celkem</t>
  </si>
  <si>
    <t>Stroje celkem</t>
  </si>
  <si>
    <t>Tarify celkem</t>
  </si>
  <si>
    <t>Odvody celkem</t>
  </si>
  <si>
    <t>Režie celkem</t>
  </si>
  <si>
    <t>Zisk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</si>
  <si>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</si>
  <si>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</si>
  <si>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</si>
  <si>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</si>
  <si>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</si>
  <si>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</si>
  <si>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</si>
  <si>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</si>
  <si>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</si>
  <si>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</si>
  <si>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</si>
  <si>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</si>
  <si>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</si>
  <si>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</si>
  <si>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HSV</t>
  </si>
  <si>
    <t xml:space="preserve">Práce a dodávky HSV   </t>
  </si>
  <si>
    <t xml:space="preserve">Zemní práce   </t>
  </si>
  <si>
    <t>113106121</t>
  </si>
  <si>
    <t xml:space="preserve"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   </t>
  </si>
  <si>
    <t>m2</t>
  </si>
  <si>
    <t>113107237</t>
  </si>
  <si>
    <t xml:space="preserve">Odstranění podkladů nebo krytů strojně plochy jednotlivě přes 200 m2 s přemístěním hmot na skládku na vzdálenost do 20 m nebo s naložením na dopravní prostředek z betonu vyztuženého sítěmi, o tl. vrstvy přes 150 do 300 mm   </t>
  </si>
  <si>
    <t>131201101</t>
  </si>
  <si>
    <t xml:space="preserve">Hloubení nezapažených jam a zářezů s urovnáním dna do předepsaného profilu a spádu v hornině tř. 3 do 100 m3   </t>
  </si>
  <si>
    <t>m3</t>
  </si>
  <si>
    <t>131201109</t>
  </si>
  <si>
    <t xml:space="preserve">Hloubení nezapažených jam a zářezů s urovnáním dna do předepsaného profilu a spádu Příplatek k cenám za lepivost horniny tř. 3   </t>
  </si>
  <si>
    <t>162601102</t>
  </si>
  <si>
    <t xml:space="preserve">Vodorovné přemístění výkopku nebo sypaniny po suchu  na obvyklém dopravním prostředku, bez naložení výkopku, avšak se složením bez rozhrnutí z horniny tř. 1 až 4 na vzdálenost přes 4 000 do 5 000 m   </t>
  </si>
  <si>
    <t>167101102</t>
  </si>
  <si>
    <t xml:space="preserve">Nakládání, skládání a překládání neulehlého výkopku nebo sypaniny  nakládání, množství přes 100 m3, z hornin tř. 1 až 4   </t>
  </si>
  <si>
    <t>171201201</t>
  </si>
  <si>
    <t xml:space="preserve">Uložení sypaniny  na skládky   </t>
  </si>
  <si>
    <t>171201211</t>
  </si>
  <si>
    <t xml:space="preserve">Poplatek za uložení stavebního odpadu na skládce (skládkovné) zeminy a kameniva zatříděného do Katalogu odpadů pod kódem 170 504   </t>
  </si>
  <si>
    <t>t</t>
  </si>
  <si>
    <t xml:space="preserve">Komunikace pozemní   </t>
  </si>
  <si>
    <t>58343903</t>
  </si>
  <si>
    <t>58344171</t>
  </si>
  <si>
    <t>564801111</t>
  </si>
  <si>
    <t xml:space="preserve">Podklad ze štěrkodrti ŠD  s rozprostřením a zhutněním, po zhutnění tl. 30 mm   </t>
  </si>
  <si>
    <t>58343810</t>
  </si>
  <si>
    <t xml:space="preserve">kamenivo drcené hrubé frakce 4/8   </t>
  </si>
  <si>
    <t>564801112</t>
  </si>
  <si>
    <t xml:space="preserve">Podklad ze štěrkodrti ŠD  s rozprostřením a zhutněním, po zhutnění tl. 40 mm   </t>
  </si>
  <si>
    <t>564811111</t>
  </si>
  <si>
    <t xml:space="preserve">Podklad ze štěrkodrti ŠD  s rozprostřením a zhutněním, po zhutnění tl. 50 mm   </t>
  </si>
  <si>
    <t>58343872</t>
  </si>
  <si>
    <t xml:space="preserve">kamenivo drcené hrubé frakce 8/16   </t>
  </si>
  <si>
    <t>58344155</t>
  </si>
  <si>
    <t xml:space="preserve">štěrkodrť frakce 0/22   </t>
  </si>
  <si>
    <t>564831111</t>
  </si>
  <si>
    <t xml:space="preserve">Podklad ze štěrkodrti ŠD  s rozprostřením a zhutněním, po zhutnění tl. 100 mm   </t>
  </si>
  <si>
    <t>58343959</t>
  </si>
  <si>
    <t>58343930</t>
  </si>
  <si>
    <t xml:space="preserve">kamenivo drcené hrubé frakce 16-32   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</si>
  <si>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</si>
  <si>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   </t>
  </si>
  <si>
    <t>DL ZAT</t>
  </si>
  <si>
    <t>596411111</t>
  </si>
  <si>
    <t xml:space="preserve">Kladení dlažby z betonových vegetačních dlaždic komunikací pro pěší s ložem z kameniva těženého nebo drceného tl. do 40 mm, s vyplněním spár a vegetačních otvorů, s hutněním vibrováním tl. 80 mm, pro plochy do 50 m2   </t>
  </si>
  <si>
    <t>997</t>
  </si>
  <si>
    <t xml:space="preserve">Přesun sutě   </t>
  </si>
  <si>
    <t>997221551</t>
  </si>
  <si>
    <t xml:space="preserve">Vodorovná doprava suti  bez naložení, ale se složením a s hrubým urovnáním ze sypkých materiálů, na vzdálenost do 1 km   </t>
  </si>
  <si>
    <t>997221559</t>
  </si>
  <si>
    <t xml:space="preserve">Vodorovná doprava suti  bez naložení, ale se složením a s hrubým urovnáním Příplatek k ceně za každý další i započatý 1 km přes 1 km   </t>
  </si>
  <si>
    <t>997221815</t>
  </si>
  <si>
    <t xml:space="preserve">Poplatek za uložení stavebního odpadu na skládce (skládkovné) z prostého betonu zatříděného do Katalogu odpadů pod kódem 170 101   </t>
  </si>
  <si>
    <t>997221855</t>
  </si>
  <si>
    <t>998</t>
  </si>
  <si>
    <t xml:space="preserve">Přesun hmot   </t>
  </si>
  <si>
    <t>998225111</t>
  </si>
  <si>
    <t xml:space="preserve">Přesun hmot pro komunikace s krytem z kameniva, monolitickým betonovým nebo živičným  dopravní vzdálenost do 200 m jakékoliv délky objektu   </t>
  </si>
  <si>
    <t>Bourací práce</t>
  </si>
  <si>
    <t xml:space="preserve">Hloubení nezapažených jam a zářezů s urovnáním dna do předepsaného profilu a spádu v hornině tř. 3 do 1000 m3   </t>
  </si>
  <si>
    <t>Pochozí zatravňovací dlažba</t>
  </si>
  <si>
    <t>Vibrovaný štěrk pochozí</t>
  </si>
  <si>
    <t>Vibrovaný štěrk pojezdový</t>
  </si>
  <si>
    <t xml:space="preserve">Podklad ze štěrkodrti ŠD  s rozprostřením a zhutněním, po zhutnění tl. 60 mm   </t>
  </si>
  <si>
    <t>Betonová dlažba pochozí</t>
  </si>
  <si>
    <t xml:space="preserve">Podklad ze štěrkodrti ŠD  s rozprostřením a zhutněním, po zhutnění tl. 200 mm   </t>
  </si>
  <si>
    <t xml:space="preserve">štěrkodrť frakce 16/32   </t>
  </si>
  <si>
    <t>Ocelová pásovina</t>
  </si>
  <si>
    <t>Instalace ocelové pásoviny</t>
  </si>
  <si>
    <t>bm</t>
  </si>
  <si>
    <t>R</t>
  </si>
  <si>
    <t>S</t>
  </si>
  <si>
    <t>kus</t>
  </si>
  <si>
    <t>162301401</t>
  </si>
  <si>
    <t xml:space="preserve">Vodorovné přemístění větví, kmenů nebo pařezů  s naložením, složením a dopravou do 5000 m větví stromů listnatých, průměru kmene přes 100 do 300 mm   </t>
  </si>
  <si>
    <t>162301402</t>
  </si>
  <si>
    <t xml:space="preserve">Vodorovné přemístění větví, kmenů nebo pařezů  s naložením, složením a dopravou do 5000 m větví stromů listnatých, průměru kmene přes 300 do 500 mm   </t>
  </si>
  <si>
    <t>162301411</t>
  </si>
  <si>
    <t xml:space="preserve">Vodorovné přemístění větví, kmenů nebo pařezů  s naložením, složením a dopravou do 5000 m kmenů stromů listnatých, průměru přes 100 do 300 mm   </t>
  </si>
  <si>
    <t>162301412</t>
  </si>
  <si>
    <t xml:space="preserve">Vodorovné přemístění větví, kmenů nebo pařezů  s naložením, složením a dopravou do 5000 m kmenů stromů listnatých, průměru přes 300 do 500 mm   </t>
  </si>
  <si>
    <t>Poplatek za uložení biologicky rozložitelného odpadu</t>
  </si>
  <si>
    <t>181411131</t>
  </si>
  <si>
    <t xml:space="preserve">Založení trávníku na půdě předem připravené plochy do 1000 m2 výsevem včetně utažení parkového v rovině nebo na svahu do 1:5   </t>
  </si>
  <si>
    <t>trav.osi par</t>
  </si>
  <si>
    <t>kg</t>
  </si>
  <si>
    <t>182303111</t>
  </si>
  <si>
    <t xml:space="preserve">Doplnění zeminy nebo substrátu na travnatých plochách tloušťky do 50 mm v rovině nebo na svahu do 1:5   </t>
  </si>
  <si>
    <t>10321100</t>
  </si>
  <si>
    <t xml:space="preserve">zahradní substrát pro výsadbu VL   </t>
  </si>
  <si>
    <t>183101113</t>
  </si>
  <si>
    <t xml:space="preserve">Hloubení jamek pro vysazování rostlin v zemině tř.1 až 4 bez výměny půdy  v rovině nebo na svahu do 1:5, objemu přes 0,02 do 0,05 m3   </t>
  </si>
  <si>
    <t>183101114</t>
  </si>
  <si>
    <t xml:space="preserve">Hloubení jamek pro vysazování rostlin v zemině tř.1 až 4 bez výměny půdy  v rovině nebo na svahu do 1:5, objemu přes 0,05 do 0,125 m3   </t>
  </si>
  <si>
    <t>183101115</t>
  </si>
  <si>
    <t xml:space="preserve">Hloubení jamek pro vysazování rostlin v zemině tř.1 až 4 bez výměny půdy  v rovině nebo na svahu do 1:5, objemu přes 0,125 do 0,40 m3   </t>
  </si>
  <si>
    <t>183101121</t>
  </si>
  <si>
    <t xml:space="preserve">Hloubení jamek pro vysazování rostlin v zemině tř.1 až 4 bez výměny půdy  v rovině nebo na svahu do 1:5, objemu přes 0,40 do 1,00 m3   </t>
  </si>
  <si>
    <t>183211312</t>
  </si>
  <si>
    <t xml:space="preserve">Výsadba květin do připravené půdy se zalitím do připravené půdy, se zalitím trvalek   </t>
  </si>
  <si>
    <t>183211313</t>
  </si>
  <si>
    <t xml:space="preserve">Výsadba květin do připravené půdy se zalitím do připravené půdy, se zalitím cibulí nebo hlíz   </t>
  </si>
  <si>
    <t>ks</t>
  </si>
  <si>
    <t>AsBu</t>
  </si>
  <si>
    <t>AsEu</t>
  </si>
  <si>
    <t>FrVe</t>
  </si>
  <si>
    <t>PaTe</t>
  </si>
  <si>
    <t>Muar</t>
  </si>
  <si>
    <t xml:space="preserve">Muscari armeniacum   </t>
  </si>
  <si>
    <t>183402131</t>
  </si>
  <si>
    <t xml:space="preserve">Rozrušení půdy na hloubku přes 50 do 150 mm souvislé plochy přes 500 m2 v rovině nebo na svahu do 1:5   </t>
  </si>
  <si>
    <t>183403114</t>
  </si>
  <si>
    <t xml:space="preserve">Obdělání půdy  kultivátorováním v rovině nebo na svahu do 1:5   </t>
  </si>
  <si>
    <t>183403151</t>
  </si>
  <si>
    <t xml:space="preserve">Obdělání půdy  smykováním v rovině nebo na svahu do 1:5   </t>
  </si>
  <si>
    <t>183403152</t>
  </si>
  <si>
    <t xml:space="preserve">Obdělání půdy  vláčením v rovině nebo na svahu do 1:5   </t>
  </si>
  <si>
    <t>183403153</t>
  </si>
  <si>
    <t xml:space="preserve">Obdělání půdy  hrabáním v rovině nebo na svahu do 1:5   </t>
  </si>
  <si>
    <t>183403161</t>
  </si>
  <si>
    <t xml:space="preserve">Obdělání půdy  válením v rovině nebo na svahu do 1:5   </t>
  </si>
  <si>
    <t>184102111</t>
  </si>
  <si>
    <t xml:space="preserve">Výsadba dřeviny s balem do předem vyhloubené jamky se zalitím  v rovině nebo na svahu do 1:5, při průměru balu přes 100 do 200 mm   </t>
  </si>
  <si>
    <t>PHcoBE</t>
  </si>
  <si>
    <t xml:space="preserve">Philadelphus coronarius 'Belle Etoile' 40-60   </t>
  </si>
  <si>
    <t>PhCoV</t>
  </si>
  <si>
    <t xml:space="preserve">Philadelphus coronarius 'Virginal' 60-80   </t>
  </si>
  <si>
    <t>TaMD</t>
  </si>
  <si>
    <t xml:space="preserve">Taxus media 'Densiformis'   </t>
  </si>
  <si>
    <t>ViOpC</t>
  </si>
  <si>
    <t xml:space="preserve">Viburnum opulus 'Compactum' 40-60   </t>
  </si>
  <si>
    <t>184102113</t>
  </si>
  <si>
    <t xml:space="preserve">Výsadba dřeviny s balem do předem vyhloubené jamky se zalitím  v rovině nebo na svahu do 1:5, při průměru balu přes 300 do 400 mm   </t>
  </si>
  <si>
    <t>SyvuKH</t>
  </si>
  <si>
    <t xml:space="preserve">Syringa vulgaris 'Katherine Havemayer'   </t>
  </si>
  <si>
    <t>SyVuML 100/150</t>
  </si>
  <si>
    <t xml:space="preserve">Syringa vulgaris 'Mme Lemoine'   </t>
  </si>
  <si>
    <t>184102114</t>
  </si>
  <si>
    <t xml:space="preserve">Výsadba dřeviny s balem do předem vyhloubené jamky se zalitím  v rovině nebo na svahu do 1:5, při průměru balu přes 400 do 500 mm   </t>
  </si>
  <si>
    <t>CoCa</t>
  </si>
  <si>
    <t>184102115</t>
  </si>
  <si>
    <t xml:space="preserve">Výsadba dřeviny s balem do předem vyhloubené jamky se zalitím  v rovině nebo na svahu do 1:5, při průměru balu přes 500 do 600 mm   </t>
  </si>
  <si>
    <t>SoJa18/20</t>
  </si>
  <si>
    <t xml:space="preserve">Sophora japonica 18/20   </t>
  </si>
  <si>
    <t>184215133</t>
  </si>
  <si>
    <t xml:space="preserve">Ukotvení dřeviny kůly třemi kůly, délky přes 2 do 3 m   </t>
  </si>
  <si>
    <t>60591257</t>
  </si>
  <si>
    <t xml:space="preserve">kůl vyvazovací dřevěný impregnovaný D 8cm dl 3m   </t>
  </si>
  <si>
    <t>60591258</t>
  </si>
  <si>
    <t xml:space="preserve">příčka dřevěná impregnovaná D 8cm dl 3m (půlka)   </t>
  </si>
  <si>
    <t>184215211</t>
  </si>
  <si>
    <t xml:space="preserve">Ukotvení dřeviny podzemním kotvením do volné zeminy tř. 1 až 4, obvodu kmene do 250 mm   </t>
  </si>
  <si>
    <t>kot</t>
  </si>
  <si>
    <t xml:space="preserve">podzemní kotvení   </t>
  </si>
  <si>
    <t>184215411</t>
  </si>
  <si>
    <t xml:space="preserve">Zhotovení závlahové mísy u solitérních dřevin v rovině nebo na svahu do 1:5, o průměru mísy do 0,5 m   </t>
  </si>
  <si>
    <t>10391100</t>
  </si>
  <si>
    <t xml:space="preserve">kůra mulčovací VL   </t>
  </si>
  <si>
    <t>184215412</t>
  </si>
  <si>
    <t xml:space="preserve">Zhotovení závlahové mísy u solitérních dřevin v rovině nebo na svahu do 1:5, o průměru mísy přes 0,5 do 1 m   </t>
  </si>
  <si>
    <t>184801121</t>
  </si>
  <si>
    <t xml:space="preserve">Ošetření vysazených dřevin  solitérních v rovině nebo na svahu do 1:5   </t>
  </si>
  <si>
    <t>184911421</t>
  </si>
  <si>
    <t xml:space="preserve">Mulčování vysazených rostlin mulčovací kůrou, tl. do 100 mm v rovině nebo na svahu do 1:5   </t>
  </si>
  <si>
    <t>185802114</t>
  </si>
  <si>
    <t xml:space="preserve">Hnojení půdy nebo trávníku  v rovině nebo na svahu do 1:5 umělým hnojivem s rozdělením k jednotlivým rostlinám   </t>
  </si>
  <si>
    <t>SILM</t>
  </si>
  <si>
    <t xml:space="preserve">hnojivo Silvamix tabletové 10g/ks   </t>
  </si>
  <si>
    <t>998231311</t>
  </si>
  <si>
    <t xml:space="preserve">Přesun hmot pro sadovnické a krajinářské úpravy - strojně dopravní vzdálenost do 5000 m   </t>
  </si>
  <si>
    <t>Vybavení</t>
  </si>
  <si>
    <t>Venkovní stojatá dvojitá zásuvka, 250V/16A – IP65</t>
  </si>
  <si>
    <t>instalace elektrického sloupku</t>
  </si>
  <si>
    <t>pokládka a instlace elektrického kabelu včetně půchodek</t>
  </si>
  <si>
    <t>elektrický kabel  CYKY 3x1,5</t>
  </si>
  <si>
    <t>Stavba:</t>
  </si>
  <si>
    <t>Objekt:</t>
  </si>
  <si>
    <t>Místo:</t>
  </si>
  <si>
    <t>Datum:</t>
  </si>
  <si>
    <t>Objednatel:</t>
  </si>
  <si>
    <t>Projektant:</t>
  </si>
  <si>
    <t>Zhotovitel:</t>
  </si>
  <si>
    <t>Zpracovatel:</t>
  </si>
  <si>
    <t>Náklady rozpočtu cena bez DPH</t>
  </si>
  <si>
    <t>DPH</t>
  </si>
  <si>
    <t>Celkové náklady včetně DPH</t>
  </si>
  <si>
    <t xml:space="preserve">  Hybešova 4, Praha 8</t>
  </si>
  <si>
    <t>Obnova zahrady Českého rozhlasu Regina</t>
  </si>
  <si>
    <t>Členění projektu</t>
  </si>
  <si>
    <t>Odstranění dřevěného objektu stánku včetně likvidace na kládce</t>
  </si>
  <si>
    <t>Odstranění pařezu odfrézováním nebo odvrtáním hloubky do 500mm</t>
  </si>
  <si>
    <t>kamenivo drcené hrubé frakce 0/8</t>
  </si>
  <si>
    <t xml:space="preserve">kamenivo drcené hrubé frakce 0/63   </t>
  </si>
  <si>
    <t xml:space="preserve">Podklad ze štěrkodrti ŠD  s rozprostřením a zhutněním, po zhutnění tl. 250 mm   </t>
  </si>
  <si>
    <t xml:space="preserve">štěrkodrť frakce 4/8  </t>
  </si>
  <si>
    <t>Betonová dlažba pojezdová</t>
  </si>
  <si>
    <t>Ribes alpinum 60-80</t>
  </si>
  <si>
    <t>RiAP</t>
  </si>
  <si>
    <t>AkQA</t>
  </si>
  <si>
    <t>AlMT</t>
  </si>
  <si>
    <t>Ligularia przewalskii</t>
  </si>
  <si>
    <t>SeAu</t>
  </si>
  <si>
    <t>Sesleria autumnalis</t>
  </si>
  <si>
    <t>VeNi</t>
  </si>
  <si>
    <t>Verbascum niger</t>
  </si>
  <si>
    <t>AlNi</t>
  </si>
  <si>
    <t>Allium nigrum</t>
  </si>
  <si>
    <t>ScSi</t>
  </si>
  <si>
    <t>Scilla sibirica</t>
  </si>
  <si>
    <t>Acer platanoides 'Cleveland' 18/20</t>
  </si>
  <si>
    <t>AcPlCl</t>
  </si>
  <si>
    <t>Betonový obrubník</t>
  </si>
  <si>
    <t>592172120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</si>
  <si>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</si>
  <si>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</si>
  <si>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m</t>
  </si>
  <si>
    <t>916991121</t>
  </si>
  <si>
    <t>Lože pod obrubníky, krajníky nebo obruby z dlažebních kostek z betonu prostého tř. C 16/20</t>
  </si>
  <si>
    <t xml:space="preserve">Kladení dlažby z betonových dlaždic komunikací pro pěší s ložem z kameniva těženého nebo drceného tl. do 40 mm, s vyplněním spár s dvojitým hutněním, vibrováním a se smetením přebytečného materiálu na krajnici tl. 60 mm skupiny A, pro plochy do 50 m2   </t>
  </si>
  <si>
    <t>Zásyp jam po vyfrézovaných pařezech hloubky přes 200 do 500 mm v rovině nebo na svahu do 1:5</t>
  </si>
  <si>
    <t xml:space="preserve">Nakládání, skládání a překládání neulehlého výkopku nebo sypaniny  nakládání, množství do 100 m3, z hornin tř. 1 až 4   </t>
  </si>
  <si>
    <t>Nakládání, skládání a překládání neulehlého výkopku nebo sypaniny  nakládání, množství do 100 m3, z hornin tř. 1 až 5</t>
  </si>
  <si>
    <t>Nátěr kmene ochranným nátěrem</t>
  </si>
  <si>
    <t>Ochranný nátěr</t>
  </si>
  <si>
    <t xml:space="preserve">instalace betonového žlabu včetně výkopku </t>
  </si>
  <si>
    <t>betonový žlab s litinovou mříží D400</t>
  </si>
  <si>
    <t>Roční četnost</t>
  </si>
  <si>
    <t>Počet let</t>
  </si>
  <si>
    <t>odplevelení zálivkové mísy u stromů</t>
  </si>
  <si>
    <t>Stromy</t>
  </si>
  <si>
    <t>Množství</t>
  </si>
  <si>
    <t>doplnění mlčovací kůy včetně materiálu</t>
  </si>
  <si>
    <t>kontrola kotvení stromu (znovuuvázání dřeviny)</t>
  </si>
  <si>
    <t>Keře</t>
  </si>
  <si>
    <t>pletí výsadeb</t>
  </si>
  <si>
    <t>odstranění odkvetlých částí a odumřelých rostlin</t>
  </si>
  <si>
    <t>dosadba trvalek</t>
  </si>
  <si>
    <t>zálivka</t>
  </si>
  <si>
    <t>Trvalkové záhony</t>
  </si>
  <si>
    <t>Pobytový trávník</t>
  </si>
  <si>
    <t>seč se sběrem</t>
  </si>
  <si>
    <t>hnojení trávníku včetně hnojiva</t>
  </si>
  <si>
    <t>vertikutace trávníku včetně výhrabu</t>
  </si>
  <si>
    <t>sběr listí</t>
  </si>
  <si>
    <t>CENA CELKEM</t>
  </si>
  <si>
    <t>DPH 21%</t>
  </si>
  <si>
    <t>CELKOVÁ CENA</t>
  </si>
  <si>
    <t>Cornus causa   200-250</t>
  </si>
  <si>
    <t>kamenivo drcené hrubé frakce 4/8 do spár</t>
  </si>
  <si>
    <t>kamenivo drcené hrubé frakce 16/32</t>
  </si>
  <si>
    <t xml:space="preserve">štěrkodrť frakce 32/64   </t>
  </si>
  <si>
    <t>Krajinářské úpravy</t>
  </si>
  <si>
    <t>travní osivo PARKOVÁ TRAVNÍ SMĚS do polostínu</t>
  </si>
  <si>
    <t>mříž 2420 x 1600 mm, Lisovaný pororošt PR- 33/11, hladký, bez protiskluzu s kruhovým výřezem u kmene stromu, včetně lakování černou barvou</t>
  </si>
  <si>
    <t>kamenivo drcené hrubé frakce 4/8  do spár</t>
  </si>
  <si>
    <t>kůra mulčovací VL jemná</t>
  </si>
  <si>
    <t>kůra mulčovací VL   jemná</t>
  </si>
  <si>
    <t>Kontrola bezpečnostní vazby, strom č. 6</t>
  </si>
  <si>
    <t>Odstranění kotvení stromů</t>
  </si>
  <si>
    <t>184852212</t>
  </si>
  <si>
    <t>184852213</t>
  </si>
  <si>
    <t>184852211</t>
  </si>
  <si>
    <t>Řez stromů prováděný lezeckou technikou zdravotní, plocha koruny stromu do 30 m2</t>
  </si>
  <si>
    <t>Řez stromů prováděný lezeckou technikou zdravotní, plocha koruny stromu přes 30 do 60m2</t>
  </si>
  <si>
    <t>Řez stromů prováděný lezeckou technikou zdravotní, plocha koruny stromu  přes 60 do 90m2</t>
  </si>
  <si>
    <t>Řez stromů prováděný lezeckou technikou bezpečnostní, plocha koruny stromu do 30 m2</t>
  </si>
  <si>
    <t>Řez stromů prováděný lezeckou technikou bezpečnostní, plocha koruny stromu přes 30 do 60 m2</t>
  </si>
  <si>
    <t>111251111</t>
  </si>
  <si>
    <t>Drcení ořezaných větví strojně - (štěpkování) o průměru větví do 100 mm</t>
  </si>
  <si>
    <t>Tahová zkouška strom č. 1, 17, 23, 24</t>
  </si>
  <si>
    <t>Vyfoukání stávající zhutnělé zeminy z prostoru kořenové zóny stromů (metoda airspade), do hloubky 15 cm dle možností, cca 90% plochy</t>
  </si>
  <si>
    <t>Doplnění substrátu s rozprostřením - vrstva 15 cm (ornice:kompost:písek)</t>
  </si>
  <si>
    <t>Arboristický dozor</t>
  </si>
  <si>
    <t>hod</t>
  </si>
  <si>
    <t>kpl</t>
  </si>
  <si>
    <t>Lokalizace hlavních kořenů (kořeny o průmětru 5cm a více), jejich  odhalení, obsypání  vrstvou písku o mocnosti 5cm a překrytí netkanou textýlií (300g/m2) u 13 stromů</t>
  </si>
  <si>
    <t>Rozvojová péče</t>
  </si>
  <si>
    <t>Arboristické práce</t>
  </si>
  <si>
    <t>1. FÁZE - ZAHRADA</t>
  </si>
  <si>
    <t>2. FÁZE - PARKING</t>
  </si>
  <si>
    <t>Ovládací systém a senzory</t>
  </si>
  <si>
    <t>Šachtice s elmag. ventily, rozdělovače, kabelové vedení</t>
  </si>
  <si>
    <t>Potrubí a tvarovky pro rozvody AZS</t>
  </si>
  <si>
    <t>%</t>
  </si>
  <si>
    <t>Počet</t>
  </si>
  <si>
    <t>Ceníková
cena 
bez DPH</t>
  </si>
  <si>
    <t>Vodotěsné konektory DBO-B-6 | Pro vodiče 0,8-2,5 mm² dvoudílné (žlutomodrá kabelová
spojka), středně velké tělo, pro spojení 2-6 vodičů, náhrada za DBY.</t>
  </si>
  <si>
    <t>HC-075-FLOW, vodoměr s impulzním výstupem, 3/4" | Vodoměr s impulzním výstupem. Pro
ovládací jednotky Hunter Hydrawise. Připojení 3/4", vnější závit. Závit těla vodoměru 1"</t>
  </si>
  <si>
    <t>Základní licence vzdálené správy HOME PLAN k ovládacím
jednotkám se sw Hunter Hydrawise pro koncové uživatele. Tato licence umožňuje využívat základní
funkce jednotky.</t>
  </si>
  <si>
    <t>Závitové DG přechody s vnitřním závitem | 32x1" /zelené/, pro spojování potrubí
z nízkohustotního polyethylenu PE-LD a středněhustotního polyethylenu PE-MD</t>
  </si>
  <si>
    <t>Závitové DG přechody s vnitřním závitem | 32x3/4" /zelené/, pro spojování
potrubí z nízkohustotního polyethylenu PE-LD a středněhustotního polyethylenu PE-MD</t>
  </si>
  <si>
    <t>Instalace a nastvení impulzního vodoměru</t>
  </si>
  <si>
    <t>Instalace, nastavení a naprogramování ethernetové jednotky</t>
  </si>
  <si>
    <t>Cena 
celkem
bez DPH</t>
  </si>
  <si>
    <t>č.</t>
  </si>
  <si>
    <t>PGV, 1" MM, s regulací průtoku, cívka 24 V AC | Elektromagnetický ventil s oběma závity
vnějšími. Rozsah pracovních tlaků 1,5 - 10 bar.</t>
  </si>
  <si>
    <t>CYKY-J 3x1,5 (CYKY 3Cx1,5) | Třížilový zemní kabel vhodný například pro 2 elektromagnetické
ventily, balení ve smotku 100 m, cena uvedena za 1 m.</t>
  </si>
  <si>
    <t>ŠACHTICE - se zeleným víkem | Výška 30 cm, víko 39,5x27 cm, základna 37,5x51 cm, bez
otvorů, zajišťovací šroub</t>
  </si>
  <si>
    <t>Závitové DG přechody s vnějším závitem | 32x1", /zelené/, pro spojování potrubí
z nízkohustotního polyethylenu PE-LD a středněhustotního polyethylenu PE-MD</t>
  </si>
  <si>
    <t>Rozdělovač 2x1" s plochým těsněním | Se třemi převlečnými matkami pro připojení el. mag.
ventilů (3x matka/1x vnější závit). Součástí tvarovky jsou plochá těsnění pro převlečné matky.</t>
  </si>
  <si>
    <t>Vodotěsné konektory DBR-Y-6 | Pro vodiče 0,8-4,0 mm², dvoudílné, velké tělo, červená kabelová
spojka, pro více společný vodičů.</t>
  </si>
  <si>
    <t>RN víčko k rozděl. 1", PVC | PVC zakončovací prvek RN 1" s O-kroužkem</t>
  </si>
  <si>
    <t>CYKY-J 4x1,5 (CYKY 4Bx1,5) | Čtyřžilový zemní kabel vhodný například pro 3 elektromagnetické
ventily, balení ve smotku 100 m, cena uvedena za 1 m.</t>
  </si>
  <si>
    <t>Rozdělovač 3x1" s plochým těsněním | Se čtyřmi převlečnými matkami pro připojení el. mag.
ventilů (4x matka/1x vnější závit). Součástí tvarovky jsou plochá těsnění pro převlečné matky.</t>
  </si>
  <si>
    <t>Instalace a zapojení sekčního el.mag. ventilu do velikosti 1"</t>
  </si>
  <si>
    <t>Uložení kabelů do flexibilní chráničky</t>
  </si>
  <si>
    <t xml:space="preserve">Výkop pro ventilovou šachtici </t>
  </si>
  <si>
    <t>Kompletní osazení ventilové šachtice (zhotovení a utěsnění prostupů, usazení, zásyp)</t>
  </si>
  <si>
    <t xml:space="preserve">Uložení zemních kabelů pro ovládací systém </t>
  </si>
  <si>
    <t>PE-LD/ES (PN 10), Ø 25-63 mm | 32x3,4 mm, PN 10, velmi kvalitní potrubí pro sekční a páteřní
rozvody, návin 100 m, cena uvedena za 1 m</t>
  </si>
  <si>
    <t>T - kusy | 32 mm /zelené/, pro spojování potrubí z nízkohustotního polyethylenu
PE-LD a středněhustotního polyethylenu PE-MD</t>
  </si>
  <si>
    <t>Kolena | 32 mm /zelené/, pro spojování potrubí z nízkohustotního polyethylenu
PE-LD a středněhustotního polyethylenu PE-MD</t>
  </si>
  <si>
    <t>Zátky na potrubí | 32 mm /zelená/, pro spojování potrubí z nízkohustotního
polyethylenu PE-LD a středněhustotního polyethylenu PE-MD</t>
  </si>
  <si>
    <t>Spojky přímé | 32x32 /zelená/, pro spojování potrubí z nízkohustotního polyethylenu
PE-LD a středněhustotního polyethylenu PE-MD</t>
  </si>
  <si>
    <t>Instalace a pokládka PE potrubí a mechanických spojek 32 mm</t>
  </si>
  <si>
    <t>Zásyp a hutnění výkopů do hl. 30cm a š.25 cm</t>
  </si>
  <si>
    <t>Strojní vyhloubení výkopu do hl. 20-40cm drážkovačem, š.do 15 cm, v hrubozrnné kamenité zemině</t>
  </si>
  <si>
    <t>Postřikovače, trysky, pružné přípojky postřikovačů</t>
  </si>
  <si>
    <t>Pružné připojovací potrubí, 50 m | Pružné flexibilní připojovací potrubí, 20x1,7
mm, pro postřikovače, návin 50 m, průměr role 75 cm. Vhodné pro osobní odběry.</t>
  </si>
  <si>
    <t>závitové koleno (vnější závit) | Pro připojení postřikovačů s 1/2" závitem pro potrubí
IRIMON Quick Joint QJ20</t>
  </si>
  <si>
    <t>závitový přímý přechod (vnější závit) | 20 x 3/4" s vnějším závitem pro potrubí IRIMON
Quick Joint QJ20</t>
  </si>
  <si>
    <t>T- kusy s vnitřním závitem na odbočce | 32x3/4"x32 /zelené/, pro spojování
potrubí z nízkohustotního polyethylenu PE-LD a středněhustotního polyethylenu PE-MD</t>
  </si>
  <si>
    <t>Výsuvný postřikovač (10 cm) bez trysky s proplachovou
zátkou, určený pro rozprašovací nebo rotační trysky, zesílené tělo, originální těsnění zamezující
protékání, 1/2" zapuštěný závit,</t>
  </si>
  <si>
    <t>Rotační hlavice, nastavitelná výseč 90 - 210°, poloměr
dostřiku 9,1 m / 2,8 bar, filtr</t>
  </si>
  <si>
    <t>Výškové a polohové usazení rozprašovacího postřikovače, podsyp a zhutnění okolí</t>
  </si>
  <si>
    <t>Montáž a instalace těla rozprašovacího postřikovače s tryskou</t>
  </si>
  <si>
    <t>Vysekání kapes do betonu pro postřikovače u obrubníků</t>
  </si>
  <si>
    <t>Montáž přípojky z připojovacího potrubí QUICK JOINT QJ 20, vč. přechodu a kolena</t>
  </si>
  <si>
    <t>Mikrozávlaha</t>
  </si>
  <si>
    <t>Kapkovací potrubí 16 mm, balení 100 m - spon 30 cm,
zdvojený cylindrický kapkovač 2,1 l/h, nadzemní aplikace, cena uvedena za 1 m</t>
  </si>
  <si>
    <t>T-kus nástrčný 16 x 16 x 16 mm, PP | 16 x 16 x 16 mm - černý PP, pro potrubí 16 mm</t>
  </si>
  <si>
    <t xml:space="preserve">Spojka přímá nást. 16 x 16 mm, PP | 16 x 16 mm - černý PP, pro potrubí 16 mm </t>
  </si>
  <si>
    <t>Koleno nástrčné 16 x 16 mm, PP | 16 x 16 mm - černý PP, pro potrubí 16 mm</t>
  </si>
  <si>
    <t>Svěrná objímka pro kapk. potrubí 16 mm | 16 - 18 mm pro zajištění spoje 16mm nástrčné
tvarovky s kapkovacím potrubím</t>
  </si>
  <si>
    <t>Zemní úchyt PDL pro kapk. potrubí 16 mm - černý | 16 mm, jednostranný, dlouhý 19 cm, s vyšší
fixační schopností, nežli ostatní běžné úchyty délky 14-15 cm</t>
  </si>
  <si>
    <t>Koncová zátka dlouhá pro kapkovací potrubí 16 mm | 16 mm - černý PP, delší verze zátky, pro
potrubí 16 mm Tandem/Super GS</t>
  </si>
  <si>
    <t>Potrubí 16 x 1,1 mm bez kapkovačů, (50 m) | Spojovací potrubí 16 mm, tloušťka stěny 1,1 mm,
bez kapkovačů, balení 50 m, cena uvedena za 1 m, černá barva</t>
  </si>
  <si>
    <t>Pokládka nadzemního kapkovacího potrubí 16mm včetně instalace a montáže spojek</t>
  </si>
  <si>
    <t>Instalace zemních úchytů pro kapkovací potrubí</t>
  </si>
  <si>
    <t>Hlavní sestava - napojení na vodní zdroj</t>
  </si>
  <si>
    <t>Zpětná klapka - s mosaznou záklopkou | 1" pružinová, PN 16</t>
  </si>
  <si>
    <t>Mosazné závitové dvojniply | 1", vnější závity</t>
  </si>
  <si>
    <t>Kulový ventil MM s pákou/motýlkem - standardní závit | 1/2", vnější závity, standardní závit,
červený motýlek, PN16</t>
  </si>
  <si>
    <t>Kulový ventil FF s pákou - dlouhý závit | 1", vnitřní závity, dlouhý závit, červená páka, PN16</t>
  </si>
  <si>
    <t>T - kusy s vnitřním závitem na odbočce | 32x3/4"x32 /zelené/, pro spojování
potrubí z nízkohustotního polyethylenu PE-LD a středněhustotního polyethylenu PE-MD</t>
  </si>
  <si>
    <t>ICV, 1" FF, 14 bar | Elektromagnetický ventil s cívkou 24 V AC a regulací průtoku. Rozsah
pracovních tlaků 1,5 - 14 bar, vhodný pro hlavní sestavy</t>
  </si>
  <si>
    <t>Filtr 1" (DN25), filtrační vložka 155 mesh, PN 16, vestavěný nastavitelný
REDUKČNÍ VENTIL, odkalovací ventil, Q(max)= 1,2 l/s</t>
  </si>
  <si>
    <t>Vodotěsné konektory | Pro vodiče 0,8-2,5 mm² dvoudílné (žlutomodrá kabelová
spojka), středně velké tělo, pro spojení 2-6 vodičů</t>
  </si>
  <si>
    <t>Mosazné závitové redukce | 3/4" x 1/2", vnější / vnitřní závit</t>
  </si>
  <si>
    <t>Instalace hlavní sestavy armatur pro vodovodní řad</t>
  </si>
  <si>
    <t>Elektroinstalace a el. zapojení</t>
  </si>
  <si>
    <t>soubor</t>
  </si>
  <si>
    <t>CYKY-O 2x1,5 (CYKY 2Dx1,5) | Dvoužilový zemní kabel vhodný například pro 1 elektromagnetický
ventil nebo čidlo, balení ve smotku 100 m, cena uvedena za 1 m.</t>
  </si>
  <si>
    <t>Venkovní chránička  40 mm - 50m | Ohebná dvouplášťová kogurovaná chránička,
balení 50 m, cena uvedena za 1 m.</t>
  </si>
  <si>
    <t>Venkovní chránička 50 mm - 50m | Ohebná dvouplášťová kogurovaná chránička,
balení 50 m, cena uvedena za 1 m.</t>
  </si>
  <si>
    <t>Kontrola kabeláže mezi ovl. jednotkou a ventily, měření parametrů vedení</t>
  </si>
  <si>
    <t>Pevná teflonová těsnící páska | 12 mm x 12 m x 0,075 mm, kvalitní páska vhodná pro těsnění
všech plastových závitů, (bílý nebo modrý obal)</t>
  </si>
  <si>
    <t>Těsnící provázek délka 80 m | Pro těsnění závitů, 80 m (až 200 1/2"závitů)</t>
  </si>
  <si>
    <t>Ostatní materiály</t>
  </si>
  <si>
    <t>Ostatní pracovní činnosti</t>
  </si>
  <si>
    <t>Vytyčení tras vedení pro AZS</t>
  </si>
  <si>
    <t>Provedení tlakové zkoušky systému do 6 sekcí</t>
  </si>
  <si>
    <t>Propláchnutí trubního systému do 12 sekcí</t>
  </si>
  <si>
    <t>Spuštění systému, propláchnutí, seřízení trysek, výseče, dostřiky, naprogramování AZS</t>
  </si>
  <si>
    <t>Zaměření skutečného stavu po provedení instalace AZS</t>
  </si>
  <si>
    <t>Prostupy pod komunikacemi, bez úpravy povrchu komunikace</t>
  </si>
  <si>
    <t>sekce</t>
  </si>
  <si>
    <t>Závlaha</t>
  </si>
  <si>
    <t>ŠACHTICE - se zeleným víkem | Výška 30 cm, víko 51x36 cm, základna 64x50 cm, bez otvorů,
zajišťovací šroub</t>
  </si>
  <si>
    <t>Vytyčení inženýrských sítí</t>
  </si>
  <si>
    <t>Příprava staveniště</t>
  </si>
  <si>
    <t xml:space="preserve">Zařízení staveniště </t>
  </si>
  <si>
    <t>Kompletační činnost</t>
  </si>
  <si>
    <t xml:space="preserve">Provozní vlivy - časové omezení provádění hlučných prací s ohledem na provoz Českého rozhlasu </t>
  </si>
  <si>
    <t>Vedlejší rozpočtové náklady</t>
  </si>
  <si>
    <t>VRN</t>
  </si>
  <si>
    <t>TSKP 0121</t>
  </si>
  <si>
    <t>TSKP 0211</t>
  </si>
  <si>
    <t>TSKP 03</t>
  </si>
  <si>
    <t>TSKP 0452</t>
  </si>
  <si>
    <t>TSKP 0711</t>
  </si>
  <si>
    <t xml:space="preserve">Vybavení   </t>
  </si>
  <si>
    <t>Cedulka - označení parkovcího stání cedulka, plech tl. 2 mm, povrchová úprava vidielné části -
smalt, barva žlutá RAL 1018, s vrstvou ochranného laku</t>
  </si>
  <si>
    <t>Ukotvení cedulky - vruty k betonovému obrubníku</t>
  </si>
  <si>
    <t>Vytyčení inženýrských sítí, zpraování podkladu v pdf. a dwg.</t>
  </si>
  <si>
    <t>Stavba:   Obnova zahrady Českého rozhlasu Regina - Fáze 1a</t>
  </si>
  <si>
    <t>Fáze 1b</t>
  </si>
  <si>
    <t>Fáze 2b</t>
  </si>
  <si>
    <t>Stavba:   Obnova zahrady Českého rozhlasu Regina - Fáze 2a</t>
  </si>
  <si>
    <t>Stavba:   Obnova zahrady Českého rozhlasu Regina - Závlaha</t>
  </si>
  <si>
    <t>Zpracování jednoduchého projektu elektro. pro připojení sloupků zásuvek, světel a závlahy na společný rozvaděč objektu budovy Regina</t>
  </si>
  <si>
    <t>Dokumentace skutečného provedení s vyznačením změn proti původní PD a se zakótováním výsledné polohy IS. Předat ve formátu *.PDF a *.DWG (/.DXF)</t>
  </si>
  <si>
    <t>TSKP 01325</t>
  </si>
  <si>
    <t>Pískovcové nášlapy pochozí</t>
  </si>
  <si>
    <t>DL P</t>
  </si>
  <si>
    <t>Kladení dlažby</t>
  </si>
  <si>
    <t>Pískovcové nášlapy pochozí nepravidelné</t>
  </si>
  <si>
    <t>DL PN</t>
  </si>
  <si>
    <t>Mazanina tl do 80 mm z betonu prostého tř. C 16/20</t>
  </si>
  <si>
    <t>prostý beton  tř. C 16/20</t>
  </si>
  <si>
    <t>SO 01 - E</t>
  </si>
  <si>
    <t>SO 01 - F</t>
  </si>
  <si>
    <t>SO 01 - G</t>
  </si>
  <si>
    <t>SO 01- D</t>
  </si>
  <si>
    <t>SO 01 - N</t>
  </si>
  <si>
    <t>SO 01 - O</t>
  </si>
  <si>
    <t>instalace mříže ke stromu</t>
  </si>
  <si>
    <t>SO 01 - A</t>
  </si>
  <si>
    <t>SO 01 - M</t>
  </si>
  <si>
    <t>Pojezdová zatravňovací dlažba ve štěrku</t>
  </si>
  <si>
    <t>Pojezdová zatravňovací dlažba zatravněná</t>
  </si>
  <si>
    <t>So 01 - L</t>
  </si>
  <si>
    <t xml:space="preserve">Podklad ze štěrkodrti ŠD  s rozprostřením, bez zhutnění tl. 50 mm   </t>
  </si>
  <si>
    <t>Štěrk nezhutněný</t>
  </si>
  <si>
    <t>SO 01 - B</t>
  </si>
  <si>
    <t>SO 01 - Kb</t>
  </si>
  <si>
    <t>SO 01 - Ka</t>
  </si>
  <si>
    <t>SO 01 - H/I</t>
  </si>
  <si>
    <t>Plán péče</t>
  </si>
  <si>
    <t>AjRA</t>
  </si>
  <si>
    <t>AnJH</t>
  </si>
  <si>
    <t>AqCK</t>
  </si>
  <si>
    <t>CaMI</t>
  </si>
  <si>
    <t>EpWO</t>
  </si>
  <si>
    <t>ViMC</t>
  </si>
  <si>
    <t>Ajuga reptans 'Alba'</t>
  </si>
  <si>
    <t>Asarum europaeum</t>
  </si>
  <si>
    <t>Fragaria vesca</t>
  </si>
  <si>
    <t>Pachysandra terminalis</t>
  </si>
  <si>
    <r>
      <t xml:space="preserve">Anemone japponica </t>
    </r>
    <r>
      <rPr>
        <sz val="10"/>
        <color rgb="FF0000FF"/>
        <rFont val="DINPro-Regular"/>
        <family val="3"/>
      </rPr>
      <t>'Honorine Jobert'</t>
    </r>
  </si>
  <si>
    <r>
      <t>Aquilegia caerulea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DINPro-Regular"/>
        <family val="3"/>
      </rPr>
      <t>'Kristall'</t>
    </r>
  </si>
  <si>
    <r>
      <t>Astrantia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DINPro-Regular"/>
        <family val="3"/>
      </rPr>
      <t>'Buckland'</t>
    </r>
  </si>
  <si>
    <r>
      <t xml:space="preserve">Carex morowii </t>
    </r>
    <r>
      <rPr>
        <sz val="10"/>
        <color rgb="FF0000FF"/>
        <rFont val="DINPro-Regular"/>
        <family val="3"/>
      </rPr>
      <t>'Irish Green'</t>
    </r>
  </si>
  <si>
    <r>
      <t xml:space="preserve">Dryopteris affinis </t>
    </r>
    <r>
      <rPr>
        <sz val="10"/>
        <color rgb="FF0000FF"/>
        <rFont val="DINPro-Regular"/>
        <family val="3"/>
      </rPr>
      <t>'Pinderi'</t>
    </r>
  </si>
  <si>
    <r>
      <t xml:space="preserve">Epimedium x warleyense </t>
    </r>
    <r>
      <rPr>
        <sz val="10"/>
        <color rgb="FF0000FF"/>
        <rFont val="DINPro-Regular"/>
        <family val="3"/>
      </rPr>
      <t>'Orange Queen'</t>
    </r>
  </si>
  <si>
    <r>
      <t xml:space="preserve">Vinca minor </t>
    </r>
    <r>
      <rPr>
        <sz val="10"/>
        <color rgb="FF0000FF"/>
        <rFont val="DINPro-Regular"/>
        <family val="3"/>
      </rPr>
      <t>'Colada'</t>
    </r>
  </si>
  <si>
    <t>DrAP</t>
  </si>
  <si>
    <t>Muscari armeniacum</t>
  </si>
  <si>
    <t>MuAr</t>
  </si>
  <si>
    <r>
      <t xml:space="preserve">Ribes alpinum </t>
    </r>
    <r>
      <rPr>
        <sz val="10"/>
        <color rgb="FF0000FF"/>
        <rFont val="Kozuka Gothic Pro L"/>
        <family val="2"/>
        <charset val="128"/>
      </rPr>
      <t>'Pumilum'</t>
    </r>
  </si>
  <si>
    <r>
      <t>Akebia quinata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Kozuka Gothic Pro L"/>
        <family val="2"/>
        <charset val="128"/>
      </rPr>
      <t>'Alba'</t>
    </r>
  </si>
  <si>
    <t>Anemone sylvestris</t>
  </si>
  <si>
    <t>kůra mulčovací VL  jemná</t>
  </si>
  <si>
    <r>
      <t xml:space="preserve">Alchemilla mollis </t>
    </r>
    <r>
      <rPr>
        <sz val="10"/>
        <color rgb="FF0000FF"/>
        <rFont val="DINPro-Regular"/>
        <family val="3"/>
      </rPr>
      <t>'Thriller'</t>
    </r>
  </si>
  <si>
    <r>
      <t xml:space="preserve">Astrantia </t>
    </r>
    <r>
      <rPr>
        <sz val="10"/>
        <color rgb="FF0000FF"/>
        <rFont val="DINPro-Regular"/>
        <family val="3"/>
      </rPr>
      <t>'Buckland'</t>
    </r>
  </si>
  <si>
    <r>
      <t>Carex morowii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DINPro-Regular"/>
        <family val="3"/>
      </rPr>
      <t>'Irish Green'</t>
    </r>
  </si>
  <si>
    <r>
      <t>Dryopteris affinis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DINPro-Regular"/>
        <family val="3"/>
      </rPr>
      <t>'Pinderi'</t>
    </r>
  </si>
  <si>
    <r>
      <t>Epimedium x warleyense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DINPro-Regular"/>
        <family val="3"/>
      </rPr>
      <t>'Orange Queen'</t>
    </r>
  </si>
  <si>
    <r>
      <t>Vinca minor</t>
    </r>
    <r>
      <rPr>
        <sz val="10"/>
        <color theme="1"/>
        <rFont val="DINPro-Regular"/>
        <family val="3"/>
      </rPr>
      <t xml:space="preserve"> </t>
    </r>
    <r>
      <rPr>
        <sz val="10"/>
        <color rgb="FF0000FF"/>
        <rFont val="DINPro-Regular"/>
        <family val="3"/>
      </rPr>
      <t>'Colada'</t>
    </r>
  </si>
  <si>
    <t>LiPr</t>
  </si>
  <si>
    <t>Krajinářsko-architektonické úpravy - Obnova zahrady Českého rozhlasu Regina</t>
  </si>
  <si>
    <t>F1a Hlavní rozpočtové náklady</t>
  </si>
  <si>
    <t>F1a Vedlejší rozpočtové náklady</t>
  </si>
  <si>
    <t>F1b Rozvojová péče</t>
  </si>
  <si>
    <t>F1c Závlaha</t>
  </si>
  <si>
    <t>F1d Kanalizace - hlavní rozpočtové náklady</t>
  </si>
  <si>
    <t>F1d Kanalizace - vedlejší rozpočtové náklady</t>
  </si>
  <si>
    <t>F2a Hlavní rozpočtové náklady</t>
  </si>
  <si>
    <t>F2a Vedlejší rozpočtové náklady</t>
  </si>
  <si>
    <t>F2b Rozvojová péče</t>
  </si>
  <si>
    <t>REKAPITULACE ČLENĚNÍ SOUPISU PRACÍ</t>
  </si>
  <si>
    <t>Kanalizační přípojka a úprava venkovní kanalizace areálu při akci Český rozhlas Regina Praha-obnova zahrady</t>
  </si>
  <si>
    <t xml:space="preserve"> Hybešova 4, Praha 8</t>
  </si>
  <si>
    <t>Zadavatel: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</si>
  <si>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</si>
  <si>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</si>
  <si>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</si>
  <si>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</si>
  <si>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</si>
  <si>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</si>
  <si>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</si>
  <si>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</si>
  <si>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</si>
  <si>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</si>
  <si>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</si>
  <si>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</si>
  <si>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</si>
  <si>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Typ</t>
  </si>
  <si>
    <t>Kód</t>
  </si>
  <si>
    <t>J.cena [CZK]</t>
  </si>
  <si>
    <t>Cenová soustava</t>
  </si>
  <si>
    <t/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</si>
  <si>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</si>
  <si>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</si>
  <si>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</si>
  <si>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</si>
  <si>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</si>
  <si>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</si>
  <si>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</si>
  <si>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</si>
  <si>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</si>
  <si>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</si>
  <si>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</si>
  <si>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</si>
  <si>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</si>
  <si>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119001421</t>
  </si>
  <si>
    <t>Dočasné zajištění kabelů a kabelových tratí ze 3 volně ložených kabelů</t>
  </si>
  <si>
    <t>základní</t>
  </si>
  <si>
    <t>2023784261</t>
  </si>
  <si>
    <t>VV</t>
  </si>
  <si>
    <t>"NN"1*š</t>
  </si>
  <si>
    <t>True</t>
  </si>
  <si>
    <t>129001101</t>
  </si>
  <si>
    <t>Příplatek za ztížení odkopávky nebo prokopávky v blízkosti inženýrských sítí</t>
  </si>
  <si>
    <t>241102848</t>
  </si>
  <si>
    <t>"NN"1,0*š*hl</t>
  </si>
  <si>
    <t>132254204</t>
  </si>
  <si>
    <t>Hloubení zapažených rýh š do 2000 mm v hornině třídy těžitelnosti I, skupiny 3 objem do 500 m3</t>
  </si>
  <si>
    <t>-1559591346</t>
  </si>
  <si>
    <t>"otevřený výkop"d*š*hl</t>
  </si>
  <si>
    <t>"odpočet kryt kom."-š*dz*tz-š*tzp*dzp</t>
  </si>
  <si>
    <t>a1</t>
  </si>
  <si>
    <t>Mezisoučet</t>
  </si>
  <si>
    <t>b</t>
  </si>
  <si>
    <t>"navýšení výkopu o výkop v místě stávajícího napojení pro zaslepení vložek"0,025*a1</t>
  </si>
  <si>
    <t>A</t>
  </si>
  <si>
    <t>Součet</t>
  </si>
  <si>
    <t>hl</t>
  </si>
  <si>
    <t>"prům.hloubka výkopu"3,76</t>
  </si>
  <si>
    <t>š</t>
  </si>
  <si>
    <t>"šířka výkopu"1,2</t>
  </si>
  <si>
    <t>d3</t>
  </si>
  <si>
    <t>"délka DN200"42,0</t>
  </si>
  <si>
    <t>d2</t>
  </si>
  <si>
    <t>"délka DN150"12,0</t>
  </si>
  <si>
    <t>d1</t>
  </si>
  <si>
    <t>"délka DN125"6,0</t>
  </si>
  <si>
    <t>d</t>
  </si>
  <si>
    <t>"celková délka"d1+d2+d3</t>
  </si>
  <si>
    <t>dzp</t>
  </si>
  <si>
    <t>"dl.zpev.plochy"12,8+0,6+1,1</t>
  </si>
  <si>
    <t>dz</t>
  </si>
  <si>
    <t>"dl.zel.plochy"d-dzp</t>
  </si>
  <si>
    <t>tz</t>
  </si>
  <si>
    <t>"tl.zelené plochy"0,2</t>
  </si>
  <si>
    <t>tzp</t>
  </si>
  <si>
    <t>"tl.zpevněné plochy"0,25</t>
  </si>
  <si>
    <t>o</t>
  </si>
  <si>
    <t>"obsyp potrubí"(p1+0,3)*š*d1+(p2+0,3)*š*d1+(p3+0,3)*š*d3-zv</t>
  </si>
  <si>
    <t>p1</t>
  </si>
  <si>
    <t>"průměr potrubí DN125"0,125</t>
  </si>
  <si>
    <t>p2</t>
  </si>
  <si>
    <t>"průměr potrubí DN150"0,150</t>
  </si>
  <si>
    <t>p3</t>
  </si>
  <si>
    <t>"průměr potrubí DN200"0,200</t>
  </si>
  <si>
    <t>zv</t>
  </si>
  <si>
    <t>"zemina vytl.potrubím"d1*(p1/2)*(p1/2)*3,14+d2*(p2/2)*(p2/2)*3,14+d3*(p1/2)*(p1/2)*3,14</t>
  </si>
  <si>
    <t>tl</t>
  </si>
  <si>
    <t>"tl.lože"0,1</t>
  </si>
  <si>
    <t>lo</t>
  </si>
  <si>
    <t>"lože"d*š*tl</t>
  </si>
  <si>
    <t>kz</t>
  </si>
  <si>
    <t>"koeficient přepočtu hmotnosti zeminy"2,0</t>
  </si>
  <si>
    <t>151101102</t>
  </si>
  <si>
    <t>Zřízení příložného pažení a rozepření stěn rýh hl do 4 m</t>
  </si>
  <si>
    <t>1206970503</t>
  </si>
  <si>
    <t>pp</t>
  </si>
  <si>
    <t>2*d*hl</t>
  </si>
  <si>
    <t>151101112</t>
  </si>
  <si>
    <t>Odstranění příložného pažení a rozepření stěn rýh hl do 4 m</t>
  </si>
  <si>
    <t>-579702722</t>
  </si>
  <si>
    <t>162751115</t>
  </si>
  <si>
    <t>Vodorovné přemístění do 8000 m výkopku/sypaniny z horniny třídy těžitelnosti I, skupiny 1 až 3</t>
  </si>
  <si>
    <t>-1759940824</t>
  </si>
  <si>
    <t>skl</t>
  </si>
  <si>
    <t>A-zz-o</t>
  </si>
  <si>
    <t>167151101</t>
  </si>
  <si>
    <t>Nakládání výkopku z hornin třídy těžitelnosti I, skupiny 1 až 3 do 100 m3</t>
  </si>
  <si>
    <t>1724527231</t>
  </si>
  <si>
    <t>171201231</t>
  </si>
  <si>
    <t>Poplatek za uložení zeminy a kamení na recyklační skládce (skládkovné) kód odpadu 17 05 04</t>
  </si>
  <si>
    <t>-285851475</t>
  </si>
  <si>
    <t>skl*kz</t>
  </si>
  <si>
    <t>174101101</t>
  </si>
  <si>
    <t>Zásyp jam, šachet rýh nebo kolem objektů sypaninou se zhutněním</t>
  </si>
  <si>
    <t>-1967143743</t>
  </si>
  <si>
    <t>P</t>
  </si>
  <si>
    <t>Poznámka k položce:_x000D_
zpětný zásyp výkopovým materiálem</t>
  </si>
  <si>
    <t>zz</t>
  </si>
  <si>
    <t>A-lo-o-zv</t>
  </si>
  <si>
    <t>175151101</t>
  </si>
  <si>
    <t>Obsypání potrubí strojně sypaninou bez prohození, uloženou do 3 m</t>
  </si>
  <si>
    <t>-803785059</t>
  </si>
  <si>
    <t>Poznámka k položce:_x000D_
předpoklad obsypu potrubí zeminou z výkopku</t>
  </si>
  <si>
    <t>Svislé a kompletní konstrukce</t>
  </si>
  <si>
    <t>359901211</t>
  </si>
  <si>
    <t>Monitoring stoky jakékoli výšky na nové kanalizaci</t>
  </si>
  <si>
    <t>-1705278046</t>
  </si>
  <si>
    <t>359901212</t>
  </si>
  <si>
    <t>Monitoring stoky jakékoli výšky na stávající kanalizaci</t>
  </si>
  <si>
    <t>-874817858</t>
  </si>
  <si>
    <t>"v délce cca" 50,0</t>
  </si>
  <si>
    <t>Vodorovné konstrukce</t>
  </si>
  <si>
    <t>451573111</t>
  </si>
  <si>
    <t>Lože pod potrubí otevřený výkop ze štěrkopísku</t>
  </si>
  <si>
    <t>1966201147</t>
  </si>
  <si>
    <t>Trubní vedení</t>
  </si>
  <si>
    <t>831272121</t>
  </si>
  <si>
    <t>Montáž potrubí z trub kameninových hrdlových s integrovaným těsněním výkop sklon do 20 % DN 125</t>
  </si>
  <si>
    <t>25565982</t>
  </si>
  <si>
    <t>15</t>
  </si>
  <si>
    <t>M</t>
  </si>
  <si>
    <t>59710650</t>
  </si>
  <si>
    <t>trouba kameninová glazovaná DN 125 dl 1,25m spojovací systém F</t>
  </si>
  <si>
    <t>-366753990</t>
  </si>
  <si>
    <t>6*1,015 'Přepočtené koeficientem množství</t>
  </si>
  <si>
    <t>False</t>
  </si>
  <si>
    <t>16</t>
  </si>
  <si>
    <t>831272193</t>
  </si>
  <si>
    <t>Příplatek k montáži kameninového potrubí za napojení dvou dříků trub pomocí převlečné manžety DN 125</t>
  </si>
  <si>
    <t>1560966211</t>
  </si>
  <si>
    <t>Poznámka k položce:_x000D_
napojení na stávající objektovou kanalizaci DN 125</t>
  </si>
  <si>
    <t>17</t>
  </si>
  <si>
    <t>831312121</t>
  </si>
  <si>
    <t>Montáž potrubí z trub kameninových hrdlových s integrovaným těsněním výkop sklon do 20 % DN 150</t>
  </si>
  <si>
    <t>933698088</t>
  </si>
  <si>
    <t>18</t>
  </si>
  <si>
    <t>59710632</t>
  </si>
  <si>
    <t>trouba kameninová glazovaná DN 150 dl 1,00m spojovací systém F</t>
  </si>
  <si>
    <t>-1960724648</t>
  </si>
  <si>
    <t>12*1,015 'Přepočtené koeficientem množství</t>
  </si>
  <si>
    <t>19</t>
  </si>
  <si>
    <t>831352121</t>
  </si>
  <si>
    <t>Montáž potrubí z trub kameninových hrdlových s integrovaným těsněním výkop sklon do 20 % DN 200</t>
  </si>
  <si>
    <t>1327323041</t>
  </si>
  <si>
    <t>20</t>
  </si>
  <si>
    <t>59710633</t>
  </si>
  <si>
    <t>trouba kameninová glazovaná DN 200 dl 1,00m spojovací systém F</t>
  </si>
  <si>
    <t>-1400769914</t>
  </si>
  <si>
    <t>42*1,015 'Přepočtené koeficientem množství</t>
  </si>
  <si>
    <t>21</t>
  </si>
  <si>
    <t>831352193</t>
  </si>
  <si>
    <t>Příplatek k montáži kameninového potrubí za napojení dvou dříků trub pomocí převlečné manžety DN 200</t>
  </si>
  <si>
    <t>-744308360</t>
  </si>
  <si>
    <t>Poznámka k položce:_x000D_
napojení na stávající objektovou kanalizaci DN 200</t>
  </si>
  <si>
    <t>22</t>
  </si>
  <si>
    <t>837311221</t>
  </si>
  <si>
    <t>Montáž kameninových tvarovek odbočných s integrovaným těsněním otevřený výkop DN 150</t>
  </si>
  <si>
    <t>1110154634</t>
  </si>
  <si>
    <t>23</t>
  </si>
  <si>
    <t>59711540</t>
  </si>
  <si>
    <t>odbočka kameninová glazovaná jednoduchá šikmá DN 150/150 pryžové těsnění (spojovací systém F/F) dl 500mm</t>
  </si>
  <si>
    <t>1669544812</t>
  </si>
  <si>
    <t>1*1,015 'Přepočtené koeficientem množství</t>
  </si>
  <si>
    <t>24</t>
  </si>
  <si>
    <t>837312221</t>
  </si>
  <si>
    <t>Montáž kameninových tvarovek jednoosých s integrovaným těsněním otevřený výkop DN 150</t>
  </si>
  <si>
    <t>1307082125</t>
  </si>
  <si>
    <t>2+1</t>
  </si>
  <si>
    <t>25</t>
  </si>
  <si>
    <t>59712513</t>
  </si>
  <si>
    <t>přechod kameninový glazovaný DN 125/150 pryžové/pryžové těsnění (spojovací systém F/F)</t>
  </si>
  <si>
    <t>1993161242</t>
  </si>
  <si>
    <t>3*1,015 'Přepočtené koeficientem množství</t>
  </si>
  <si>
    <t>26</t>
  </si>
  <si>
    <t>837351221</t>
  </si>
  <si>
    <t>Montáž kameninových tvarovek odbočných s integrovaným těsněním otevřený výkop DN 200</t>
  </si>
  <si>
    <t>2120009316</t>
  </si>
  <si>
    <t>27</t>
  </si>
  <si>
    <t>59711543</t>
  </si>
  <si>
    <t>odbočka kameninová glazovaná jednoduchá šikmá DN 200/150 pryžové těsnění (spojovací systém F/F) dl 500mm</t>
  </si>
  <si>
    <t>-639729130</t>
  </si>
  <si>
    <t>2*1,015 'Přepočtené koeficientem množství</t>
  </si>
  <si>
    <t>28</t>
  </si>
  <si>
    <t>837352221</t>
  </si>
  <si>
    <t>Montáž kameninových tvarovek jednoosých s integrovaným těsněním otevřený výkop DN 200</t>
  </si>
  <si>
    <t>671911328</t>
  </si>
  <si>
    <t>1+1+3</t>
  </si>
  <si>
    <t>29</t>
  </si>
  <si>
    <t>59712514</t>
  </si>
  <si>
    <t>přechod kameninový glazovaný DN 150/200 pryžové/pryžové těsnění (spojovací systém F/F) třída pevnosti -/160</t>
  </si>
  <si>
    <t>344161381</t>
  </si>
  <si>
    <t>30</t>
  </si>
  <si>
    <t>59711870</t>
  </si>
  <si>
    <t>vložka kameninová glazovaná šachtová DN 150 spojovací systém F</t>
  </si>
  <si>
    <t>-987475685</t>
  </si>
  <si>
    <t>31</t>
  </si>
  <si>
    <t>59711871</t>
  </si>
  <si>
    <t>vložka kameninová glazovaná šachtová DN 200 spojovací systém F, tř.160</t>
  </si>
  <si>
    <t>379575243</t>
  </si>
  <si>
    <t>32</t>
  </si>
  <si>
    <t>83735512R</t>
  </si>
  <si>
    <t>Příplatek za napojení na stávající stoku</t>
  </si>
  <si>
    <t>-1673318041</t>
  </si>
  <si>
    <t>Poznámka k položce:_x000D_
předpoklad napojení nové přípojkyn do stávající vložky na stoce kan. řadu VP600/1100 ZCL a do stávajících šachet  Š1 a Š2</t>
  </si>
  <si>
    <t>1+1+1</t>
  </si>
  <si>
    <t>33</t>
  </si>
  <si>
    <t>83735513R</t>
  </si>
  <si>
    <t>Manipulace na stoce, zaslepení stávajících přípojek</t>
  </si>
  <si>
    <t>1035578028</t>
  </si>
  <si>
    <t>Poznámka k položce:_x000D_
zrušení napojení do stávající šachty Š2 a zaslepení stávajícíh vložek na kan. řadu</t>
  </si>
  <si>
    <t>34</t>
  </si>
  <si>
    <t>892312121</t>
  </si>
  <si>
    <t>Tlaková zkouška vzduchem potrubí DN 150 těsnícím vakem ucpávkovým</t>
  </si>
  <si>
    <t>úsek</t>
  </si>
  <si>
    <t>1796155097</t>
  </si>
  <si>
    <t>35</t>
  </si>
  <si>
    <t>892352121</t>
  </si>
  <si>
    <t>Tlaková zkouška vzduchem potrubí DN 200 těsnícím vakem ucpávkovým</t>
  </si>
  <si>
    <t>260957187</t>
  </si>
  <si>
    <t>36</t>
  </si>
  <si>
    <t>894411111</t>
  </si>
  <si>
    <t>Zřízení šachet kanalizačních z betonových dílců na potrubí DN do 200 dno beton tř. C 25/30</t>
  </si>
  <si>
    <t>-112010852</t>
  </si>
  <si>
    <t>37</t>
  </si>
  <si>
    <t>59224064</t>
  </si>
  <si>
    <t>dno betonové šachtové kulaté DN 1000x500, 100x65x15cm</t>
  </si>
  <si>
    <t>-2013706216</t>
  </si>
  <si>
    <t>38</t>
  </si>
  <si>
    <t>59224130</t>
  </si>
  <si>
    <t>deska betonová přechodová pro tlak kola 5kN 62,5x20x9cm</t>
  </si>
  <si>
    <t>-1590825660</t>
  </si>
  <si>
    <t>39</t>
  </si>
  <si>
    <t>59224187</t>
  </si>
  <si>
    <t>prstenec šachtový vyrovnávací betonový 625x120x100mm</t>
  </si>
  <si>
    <t>1026774808</t>
  </si>
  <si>
    <t>40</t>
  </si>
  <si>
    <t>59224348</t>
  </si>
  <si>
    <t>těsnění elastomerové pro spojení šachetních dílů DN 1000</t>
  </si>
  <si>
    <t>-502710251</t>
  </si>
  <si>
    <t>41</t>
  </si>
  <si>
    <t>59224160</t>
  </si>
  <si>
    <t>skruž kanalizační s ocelovými stupadly 100x25x12cm</t>
  </si>
  <si>
    <t>1736136602</t>
  </si>
  <si>
    <t>42</t>
  </si>
  <si>
    <t>899103112</t>
  </si>
  <si>
    <t>Osazení poklopů litinových nebo ocelových včetně rámů pro třídu zatížení B125, C250</t>
  </si>
  <si>
    <t>177448824</t>
  </si>
  <si>
    <t>43</t>
  </si>
  <si>
    <t>63126037</t>
  </si>
  <si>
    <t>poklop šachtový s kompozitním rámem kruhový DN 600 B125</t>
  </si>
  <si>
    <t>-1235682462</t>
  </si>
  <si>
    <t>44</t>
  </si>
  <si>
    <t>899201211</t>
  </si>
  <si>
    <t>Demontáž mříží litinových včetně rámů hmotnosti do 50 kg</t>
  </si>
  <si>
    <t>1737320694</t>
  </si>
  <si>
    <t>"dle rušených dvorních vpustí"2</t>
  </si>
  <si>
    <t>45</t>
  </si>
  <si>
    <t>899302811</t>
  </si>
  <si>
    <t>Demontáž poklopů betonových nebo ŽB včetně rámu hmotnosti přes 50 do 100 kg</t>
  </si>
  <si>
    <t>-547660258</t>
  </si>
  <si>
    <t>"demontáž poklopu stávající šachty"1</t>
  </si>
  <si>
    <t>46</t>
  </si>
  <si>
    <t>89950231R</t>
  </si>
  <si>
    <t>Oprava a vyčištění stávajících stávajících revizních šachet v hloubce do 3,0 m</t>
  </si>
  <si>
    <t>1765013092</t>
  </si>
  <si>
    <t>Poznámka k položce:_x000D_
vyčištěni a oprava zednickým způsobem-zatažení spar a trhlin stěn šachty, instalace antikorozních stupaček, úprava dna-kynety a bermy</t>
  </si>
  <si>
    <t>"Š2, Š1"2</t>
  </si>
  <si>
    <t>47</t>
  </si>
  <si>
    <t>899722114</t>
  </si>
  <si>
    <t>Krytí potrubí z plastů výstražnou fólií z PVC 40 cm</t>
  </si>
  <si>
    <t>1094229139</t>
  </si>
  <si>
    <t>Ostatní konstrukce a práce, bourání</t>
  </si>
  <si>
    <t>48</t>
  </si>
  <si>
    <t>935113111</t>
  </si>
  <si>
    <t>Osazení odvodňovacího polymerbetonového žlabu s krycím roštem šířky do 200 mm</t>
  </si>
  <si>
    <t>-2106614722</t>
  </si>
  <si>
    <t>zl</t>
  </si>
  <si>
    <t>13,0</t>
  </si>
  <si>
    <t>49</t>
  </si>
  <si>
    <t>5922701R</t>
  </si>
  <si>
    <t>žlab odvodňovací polymerbetonový se spádem dna 0,5% 1000x200x150mm</t>
  </si>
  <si>
    <t>-636023867</t>
  </si>
  <si>
    <t>zl*1,015</t>
  </si>
  <si>
    <t>50</t>
  </si>
  <si>
    <t>5624103R</t>
  </si>
  <si>
    <t>můstkový rošt š. 200 mm z tvárné litiny, dl. 500 mm</t>
  </si>
  <si>
    <t>-1263837979</t>
  </si>
  <si>
    <t>(zl/0,5)*1,015</t>
  </si>
  <si>
    <t>Přesun hmot</t>
  </si>
  <si>
    <t>51</t>
  </si>
  <si>
    <t>998275101</t>
  </si>
  <si>
    <t>Přesun hmot pro trubní vedení z trub kameninových otevřený výkop</t>
  </si>
  <si>
    <t>-403849283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</si>
  <si>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</si>
  <si>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</si>
  <si>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</si>
  <si>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</si>
  <si>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</si>
  <si>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</si>
  <si>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</si>
  <si>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</t>
  </si>
  <si>
    <t>1024</t>
  </si>
  <si>
    <t>794215718</t>
  </si>
  <si>
    <t>Poznámka k položce:_x000D_
Vytyčení stávajících vedení</t>
  </si>
  <si>
    <t>013254000</t>
  </si>
  <si>
    <t>Dokumentace skutečného provedení stavby</t>
  </si>
  <si>
    <t>1948525745</t>
  </si>
  <si>
    <t>Poznámka k položce:_x000D_
Dokumentace skutečného provedení stavby, dle Vyhlášky č.499 /2006 sb., příloha č. 7</t>
  </si>
  <si>
    <t>VRN3</t>
  </si>
  <si>
    <t>Zařízení staveniště</t>
  </si>
  <si>
    <t>030001000</t>
  </si>
  <si>
    <t>365921578</t>
  </si>
  <si>
    <t xml:space="preserve">Poznámka k položce:_x000D_
Zřízení, provoz, demontáž._x000D_
úhrnná částka na položku musí pokrývat_x000D_
všechna potřebná zařízení_x000D_
staveniště po celou dobu výstavby._x000D_
Zahrnuje náklady na veškeré zařízení_x000D_
staveniště, vč. jeho zřízení, provoz_x000D_
a odstranění či jakékoliv potřebné přemísťování._x000D_
</t>
  </si>
  <si>
    <t>VRN4</t>
  </si>
  <si>
    <t>Inženýrská činnost</t>
  </si>
  <si>
    <t>049002000</t>
  </si>
  <si>
    <t>Ostatní inženýrská činnost</t>
  </si>
  <si>
    <t>-291942494</t>
  </si>
  <si>
    <t>Místo:   Hybešova 4, katastrální území Karlín [73055]</t>
  </si>
  <si>
    <t xml:space="preserve">Oprava omítky a výmalby </t>
  </si>
  <si>
    <t xml:space="preserve">Pokácení stromu postupné se spouštěním částí kmene a koruny o průměru na řezné ploše pařezu přes 100 do 200 mm   </t>
  </si>
  <si>
    <t xml:space="preserve">Pokácení stromu postupné se spouštěním částí kmene a koruny o průměru na řezné ploše pařezu přes 300 do 400 mm   </t>
  </si>
  <si>
    <t xml:space="preserve">Pokácení stromu postupné se spouštěním částí kmene a koruny o průměru na řezné ploše pařezu přes 400 do 500 mm   </t>
  </si>
  <si>
    <t>buď přidáme položku (nebo dáem poznámku na konec textu</t>
  </si>
  <si>
    <t>Ochrana kmene bedněním před poškozením stavebním provozem zřízení včetně odstranění výšky bednění do 2 m průměru kmene do 300 mm</t>
  </si>
  <si>
    <t>Příplatek za rozložení hmotnosti dopravy - maximální váha přepravy 1 soupravy 8t</t>
  </si>
  <si>
    <t>Pokácení stromu postupné se spouštěním částí kmene a koruny o průměru na řezné ploše pařezu přes 300 do 400 mm</t>
  </si>
  <si>
    <t>Odstranění nevhodných dřevin průměru kmene do 100 mm výšky přes 1 m bez odstranění pařezu do 100 m2 v rovině nebo na svahu do 1:5</t>
  </si>
  <si>
    <t>Bourání konstrukcí v odkopávkách a prokopávkách s přemístěním suti na hromady na vzdálenost do 20 m nebo s naložením na dopravní prostředek ručně z betonu prostého neprokládaného</t>
  </si>
  <si>
    <t>Poplatek za uložení stavebního odpadu na skládce (skládkovné) beton zatříděného do Katalogu odpadů pod kódem 170101</t>
  </si>
  <si>
    <t xml:space="preserve">Prostup potrubí budovou - V ceně systémová chránička DN 40 kotvení chráničky, vytvoření a zapravení prostupu, systémové utěsnění prostupu, napojení na svislou / vodorovnou hydroizolaci. </t>
  </si>
  <si>
    <t>Poplatek za uložení zeminy a kamení na skládce v deponii (skládkovné)</t>
  </si>
  <si>
    <t>zálivka solitérních keřů 30l/keř</t>
  </si>
  <si>
    <t>zálivka stromů 1x týdně 50l/strom</t>
  </si>
  <si>
    <t>Profesionální interiérová ovl. Jednotka; doplněná čidlem srážek
Ovládaní přes webové rozhraní (prohlížeč, smartphone) v českém jazyce. 7 sekcí, rozšiřitelná až na
16 sekcí (+1 hl. ventil), 1x senz. vstup. Interní transformátor</t>
  </si>
  <si>
    <t>zatravňovací dlažba 270(300)x120(150)x80mm; referenční výrobek BEST AKVALINES povrch STANDARD barva přírodní * zahrnuje ztratné 2%</t>
  </si>
  <si>
    <t>betonová dlažba 3 formáty; 150x150/225/300x80; referenční výrobek BEST BELISIMA šedá přírodní (zakázková výroba 1-2 měsíce doba výroby) * zahrnuje ztratné 3%</t>
  </si>
  <si>
    <t>Ocelová pásovina 200x8mm s navařenými 300mm dlouhými roxorovými tyčemi ve vzdálenosti 73cm; * zahrnuje ztratné 5%</t>
  </si>
  <si>
    <t>obrubník betonový silniční  šedý 100 x 5 x 20 cm * zahrnuje ztratné 5%</t>
  </si>
  <si>
    <t>betonová vymývaná dlažba 400x400x4mm; referenční výrobek: BEST VANTO* zahrnuje ztratné 2%</t>
  </si>
  <si>
    <t>dlažba, podlouhlé pískovcové nášlapy 1500x300x70mm, barva krémově písková * zahrnuje ztratné 5%</t>
  </si>
  <si>
    <t>dlažba, pískovcové nášlapy, nepravidelné cca 500x500x70mm, barva krémově písková* zahrnuje ztratné 5%</t>
  </si>
  <si>
    <t>Ocelová pásovina 100x8mm s navařenými 300mm dlouhými roxorovými tyčemi ve vzdálenosti 73cm, pozinkovaná* zahrnuje ztratné 5%</t>
  </si>
</sst>
</file>

<file path=xl/styles.xml><?xml version="1.0" encoding="utf-8"?>
<styleSheet xmlns="http://schemas.openxmlformats.org/spreadsheetml/2006/main">
  <numFmts count="6">
    <numFmt numFmtId="164" formatCode="#,##0.000;\-#,##0.000"/>
    <numFmt numFmtId="165" formatCode="#,##0.00\ &quot;Kč&quot;"/>
    <numFmt numFmtId="166" formatCode="dd\.mm\.yyyy"/>
    <numFmt numFmtId="167" formatCode="#,##0.00000"/>
    <numFmt numFmtId="168" formatCode="#,##0.000"/>
    <numFmt numFmtId="169" formatCode="#,##0.00;\-#,##0.00"/>
  </numFmts>
  <fonts count="51">
    <font>
      <sz val="8"/>
      <name val="MS Sans Serif"/>
      <charset val="1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0"/>
      <name val="Trebuchet MS"/>
      <family val="2"/>
    </font>
    <font>
      <b/>
      <sz val="15"/>
      <name val="Trebuchet MS"/>
      <family val="2"/>
    </font>
    <font>
      <sz val="12"/>
      <name val="Trebuchet MS"/>
      <family val="2"/>
    </font>
    <font>
      <sz val="9"/>
      <name val="Trebuchet MS"/>
      <family val="2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rgb="FF969696"/>
      <name val="Trebuchet MS"/>
      <family val="2"/>
    </font>
    <font>
      <sz val="10"/>
      <color rgb="FF969696"/>
      <name val="Trebuchet MS"/>
      <family val="2"/>
    </font>
    <font>
      <sz val="11"/>
      <name val="Calibri"/>
      <family val="2"/>
      <scheme val="minor"/>
    </font>
    <font>
      <b/>
      <sz val="15"/>
      <color rgb="FF990033"/>
      <name val="Calibri"/>
      <family val="2"/>
      <charset val="238"/>
      <scheme val="minor"/>
    </font>
    <font>
      <sz val="8"/>
      <color rgb="FFFF0000"/>
      <name val="MS Sans Serif"/>
      <family val="2"/>
      <charset val="238"/>
    </font>
    <font>
      <b/>
      <sz val="10"/>
      <name val="Arial CE"/>
      <family val="2"/>
      <charset val="238"/>
    </font>
    <font>
      <sz val="10"/>
      <color theme="1"/>
      <name val="DINPro-Regular"/>
      <family val="3"/>
    </font>
    <font>
      <sz val="10"/>
      <color rgb="FF0000FF"/>
      <name val="DINPro-Regular"/>
      <family val="3"/>
    </font>
    <font>
      <sz val="10"/>
      <color rgb="FF0000FF"/>
      <name val="Arial CE"/>
      <family val="2"/>
      <charset val="238"/>
    </font>
    <font>
      <sz val="10"/>
      <color rgb="FF0000FF"/>
      <name val="Kozuka Gothic Pro L"/>
      <family val="2"/>
      <charset val="128"/>
    </font>
    <font>
      <sz val="12"/>
      <color rgb="FF990033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5" fillId="0" borderId="0"/>
  </cellStyleXfs>
  <cellXfs count="408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0" xfId="0" applyFont="1" applyAlignment="1" applyProtection="1">
      <alignment horizontal="left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/>
    </xf>
    <xf numFmtId="37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39" fontId="3" fillId="0" borderId="0" xfId="0" applyNumberFormat="1" applyFont="1" applyAlignment="1">
      <alignment horizontal="right"/>
      <protection locked="0"/>
    </xf>
    <xf numFmtId="0" fontId="4" fillId="0" borderId="0" xfId="0" applyFont="1" applyAlignment="1">
      <alignment horizontal="left" vertical="top"/>
      <protection locked="0"/>
    </xf>
    <xf numFmtId="0" fontId="3" fillId="0" borderId="2" xfId="0" applyFont="1" applyBorder="1" applyAlignment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1" fillId="2" borderId="0" xfId="0" applyFont="1" applyFill="1" applyAlignment="1" applyProtection="1">
      <alignment horizontal="left" wrapText="1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8" xfId="0" applyBorder="1" applyAlignment="1" applyProtection="1"/>
    <xf numFmtId="0" fontId="0" fillId="0" borderId="9" xfId="0" applyBorder="1" applyAlignment="1" applyProtection="1"/>
    <xf numFmtId="0" fontId="17" fillId="0" borderId="9" xfId="0" applyFont="1" applyBorder="1" applyAlignment="1" applyProtection="1"/>
    <xf numFmtId="0" fontId="0" fillId="0" borderId="10" xfId="0" applyBorder="1" applyAlignment="1" applyProtection="1"/>
    <xf numFmtId="0" fontId="0" fillId="0" borderId="0" xfId="0" applyBorder="1" applyAlignment="1" applyProtection="1"/>
    <xf numFmtId="0" fontId="17" fillId="0" borderId="0" xfId="0" applyFont="1" applyBorder="1" applyAlignment="1" applyProtection="1"/>
    <xf numFmtId="0" fontId="18" fillId="0" borderId="2" xfId="0" applyFont="1" applyBorder="1" applyAlignment="1" applyProtection="1"/>
    <xf numFmtId="0" fontId="0" fillId="0" borderId="3" xfId="0" applyBorder="1" applyAlignment="1" applyProtection="1"/>
    <xf numFmtId="0" fontId="0" fillId="0" borderId="4" xfId="0" applyBorder="1" applyAlignment="1" applyProtection="1"/>
    <xf numFmtId="0" fontId="17" fillId="0" borderId="4" xfId="0" applyFont="1" applyBorder="1" applyAlignment="1" applyProtection="1"/>
    <xf numFmtId="0" fontId="0" fillId="0" borderId="5" xfId="0" applyBorder="1" applyAlignment="1" applyProtection="1"/>
    <xf numFmtId="0" fontId="0" fillId="0" borderId="6" xfId="0" applyBorder="1" applyAlignment="1" applyProtection="1"/>
    <xf numFmtId="0" fontId="18" fillId="0" borderId="11" xfId="0" applyFont="1" applyBorder="1" applyAlignment="1" applyProtection="1"/>
    <xf numFmtId="0" fontId="10" fillId="0" borderId="1" xfId="0" applyFont="1" applyBorder="1" applyAlignment="1">
      <alignment horizontal="left" wrapText="1"/>
      <protection locked="0"/>
    </xf>
    <xf numFmtId="164" fontId="10" fillId="0" borderId="1" xfId="0" applyNumberFormat="1" applyFont="1" applyBorder="1" applyAlignment="1">
      <alignment horizontal="right"/>
      <protection locked="0"/>
    </xf>
    <xf numFmtId="39" fontId="10" fillId="0" borderId="1" xfId="0" applyNumberFormat="1" applyFont="1" applyBorder="1" applyAlignment="1">
      <alignment horizontal="right"/>
      <protection locked="0"/>
    </xf>
    <xf numFmtId="0" fontId="10" fillId="0" borderId="0" xfId="0" applyFont="1" applyBorder="1" applyAlignment="1">
      <alignment horizontal="left" wrapText="1"/>
      <protection locked="0"/>
    </xf>
    <xf numFmtId="39" fontId="10" fillId="0" borderId="0" xfId="0" applyNumberFormat="1" applyFont="1" applyBorder="1" applyAlignment="1">
      <alignment horizontal="right"/>
      <protection locked="0"/>
    </xf>
    <xf numFmtId="0" fontId="10" fillId="0" borderId="12" xfId="0" applyFont="1" applyBorder="1" applyAlignment="1">
      <alignment horizontal="left" wrapText="1"/>
      <protection locked="0"/>
    </xf>
    <xf numFmtId="164" fontId="10" fillId="0" borderId="12" xfId="0" applyNumberFormat="1" applyFont="1" applyBorder="1" applyAlignment="1">
      <alignment horizontal="right"/>
      <protection locked="0"/>
    </xf>
    <xf numFmtId="39" fontId="10" fillId="0" borderId="12" xfId="0" applyNumberFormat="1" applyFont="1" applyBorder="1" applyAlignment="1">
      <alignment horizontal="right"/>
      <protection locked="0"/>
    </xf>
    <xf numFmtId="39" fontId="10" fillId="0" borderId="2" xfId="0" applyNumberFormat="1" applyFont="1" applyBorder="1" applyAlignment="1">
      <alignment horizontal="right"/>
      <protection locked="0"/>
    </xf>
    <xf numFmtId="0" fontId="11" fillId="0" borderId="1" xfId="0" applyFont="1" applyBorder="1" applyAlignment="1">
      <alignment horizontal="left" wrapText="1"/>
      <protection locked="0"/>
    </xf>
    <xf numFmtId="164" fontId="11" fillId="0" borderId="1" xfId="0" applyNumberFormat="1" applyFont="1" applyBorder="1" applyAlignment="1">
      <alignment horizontal="right"/>
      <protection locked="0"/>
    </xf>
    <xf numFmtId="39" fontId="11" fillId="0" borderId="1" xfId="0" applyNumberFormat="1" applyFont="1" applyBorder="1" applyAlignment="1">
      <alignment horizontal="right"/>
      <protection locked="0"/>
    </xf>
    <xf numFmtId="0" fontId="12" fillId="0" borderId="0" xfId="0" applyFont="1" applyAlignment="1">
      <alignment horizontal="left" vertical="top"/>
      <protection locked="0"/>
    </xf>
    <xf numFmtId="0" fontId="11" fillId="0" borderId="12" xfId="0" applyFont="1" applyBorder="1" applyAlignment="1">
      <alignment horizontal="left" wrapText="1"/>
      <protection locked="0"/>
    </xf>
    <xf numFmtId="164" fontId="11" fillId="0" borderId="12" xfId="0" applyNumberFormat="1" applyFont="1" applyBorder="1" applyAlignment="1">
      <alignment horizontal="right"/>
      <protection locked="0"/>
    </xf>
    <xf numFmtId="39" fontId="11" fillId="0" borderId="12" xfId="0" applyNumberFormat="1" applyFont="1" applyBorder="1" applyAlignment="1">
      <alignment horizontal="right"/>
      <protection locked="0"/>
    </xf>
    <xf numFmtId="0" fontId="11" fillId="0" borderId="2" xfId="0" applyFont="1" applyBorder="1" applyAlignment="1">
      <alignment horizontal="left" wrapText="1"/>
      <protection locked="0"/>
    </xf>
    <xf numFmtId="164" fontId="11" fillId="0" borderId="2" xfId="0" applyNumberFormat="1" applyFont="1" applyBorder="1" applyAlignment="1">
      <alignment horizontal="right"/>
      <protection locked="0"/>
    </xf>
    <xf numFmtId="39" fontId="11" fillId="0" borderId="2" xfId="0" applyNumberFormat="1" applyFont="1" applyBorder="1" applyAlignment="1">
      <alignment horizontal="right"/>
      <protection locked="0"/>
    </xf>
    <xf numFmtId="39" fontId="11" fillId="0" borderId="0" xfId="0" applyNumberFormat="1" applyFont="1" applyBorder="1" applyAlignment="1">
      <alignment horizontal="right"/>
      <protection locked="0"/>
    </xf>
    <xf numFmtId="0" fontId="10" fillId="0" borderId="2" xfId="0" applyFont="1" applyBorder="1" applyAlignment="1">
      <alignment horizontal="left" wrapText="1"/>
      <protection locked="0"/>
    </xf>
    <xf numFmtId="164" fontId="10" fillId="0" borderId="2" xfId="0" applyNumberFormat="1" applyFont="1" applyBorder="1" applyAlignment="1">
      <alignment horizontal="right"/>
      <protection locked="0"/>
    </xf>
    <xf numFmtId="39" fontId="13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vertical="top" wrapText="1"/>
      <protection locked="0"/>
    </xf>
    <xf numFmtId="39" fontId="12" fillId="0" borderId="0" xfId="0" applyNumberFormat="1" applyFont="1" applyAlignment="1">
      <alignment horizontal="right" vertical="top"/>
      <protection locked="0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37" fontId="10" fillId="0" borderId="0" xfId="0" applyNumberFormat="1" applyFont="1" applyAlignment="1" applyProtection="1">
      <alignment horizontal="center" vertical="top"/>
    </xf>
    <xf numFmtId="0" fontId="10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164" fontId="10" fillId="0" borderId="0" xfId="0" applyNumberFormat="1" applyFont="1" applyAlignment="1" applyProtection="1">
      <alignment horizontal="right" vertical="top"/>
    </xf>
    <xf numFmtId="39" fontId="10" fillId="0" borderId="0" xfId="0" applyNumberFormat="1" applyFont="1" applyAlignment="1" applyProtection="1">
      <alignment horizontal="right" vertical="top"/>
    </xf>
    <xf numFmtId="39" fontId="13" fillId="0" borderId="0" xfId="0" applyNumberFormat="1" applyFont="1" applyAlignment="1" applyProtection="1">
      <alignment horizontal="right" vertical="top"/>
    </xf>
    <xf numFmtId="0" fontId="10" fillId="0" borderId="0" xfId="0" applyFont="1" applyAlignment="1" applyProtection="1">
      <alignment horizontal="left"/>
    </xf>
    <xf numFmtId="0" fontId="0" fillId="0" borderId="0" xfId="0" applyAlignment="1">
      <alignment vertical="top" wrapText="1"/>
      <protection locked="0"/>
    </xf>
    <xf numFmtId="164" fontId="10" fillId="0" borderId="0" xfId="0" applyNumberFormat="1" applyFont="1" applyAlignment="1" applyProtection="1">
      <alignment horizontal="right" vertical="top" wrapText="1"/>
    </xf>
    <xf numFmtId="39" fontId="10" fillId="0" borderId="0" xfId="0" applyNumberFormat="1" applyFont="1" applyAlignment="1" applyProtection="1">
      <alignment horizontal="right" vertical="top" wrapText="1"/>
    </xf>
    <xf numFmtId="39" fontId="13" fillId="0" borderId="0" xfId="0" applyNumberFormat="1" applyFont="1" applyAlignment="1" applyProtection="1">
      <alignment horizontal="right" vertical="top" wrapText="1"/>
    </xf>
    <xf numFmtId="0" fontId="10" fillId="0" borderId="0" xfId="0" applyFont="1" applyAlignment="1" applyProtection="1">
      <alignment horizontal="left" wrapText="1"/>
    </xf>
    <xf numFmtId="37" fontId="3" fillId="0" borderId="0" xfId="0" applyNumberFormat="1" applyFont="1" applyAlignment="1">
      <alignment horizontal="center" wrapText="1"/>
      <protection locked="0"/>
    </xf>
    <xf numFmtId="164" fontId="3" fillId="0" borderId="0" xfId="0" applyNumberFormat="1" applyFont="1" applyAlignment="1">
      <alignment horizontal="right" wrapText="1"/>
      <protection locked="0"/>
    </xf>
    <xf numFmtId="39" fontId="3" fillId="0" borderId="0" xfId="0" applyNumberFormat="1" applyFont="1" applyAlignment="1">
      <alignment horizontal="right" wrapText="1"/>
      <protection locked="0"/>
    </xf>
    <xf numFmtId="164" fontId="10" fillId="0" borderId="1" xfId="0" applyNumberFormat="1" applyFont="1" applyBorder="1" applyAlignment="1">
      <alignment horizontal="right" wrapText="1"/>
      <protection locked="0"/>
    </xf>
    <xf numFmtId="39" fontId="10" fillId="0" borderId="1" xfId="0" applyNumberFormat="1" applyFont="1" applyBorder="1" applyAlignment="1">
      <alignment horizontal="right" wrapText="1"/>
      <protection locked="0"/>
    </xf>
    <xf numFmtId="164" fontId="10" fillId="0" borderId="0" xfId="0" applyNumberFormat="1" applyFont="1" applyBorder="1" applyAlignment="1">
      <alignment horizontal="right" wrapText="1"/>
      <protection locked="0"/>
    </xf>
    <xf numFmtId="39" fontId="10" fillId="0" borderId="0" xfId="0" applyNumberFormat="1" applyFont="1" applyBorder="1" applyAlignment="1">
      <alignment horizontal="right" wrapText="1"/>
      <protection locked="0"/>
    </xf>
    <xf numFmtId="164" fontId="10" fillId="0" borderId="12" xfId="0" applyNumberFormat="1" applyFont="1" applyBorder="1" applyAlignment="1">
      <alignment horizontal="right" wrapText="1"/>
      <protection locked="0"/>
    </xf>
    <xf numFmtId="164" fontId="11" fillId="0" borderId="1" xfId="0" applyNumberFormat="1" applyFont="1" applyBorder="1" applyAlignment="1">
      <alignment horizontal="right" wrapText="1"/>
      <protection locked="0"/>
    </xf>
    <xf numFmtId="39" fontId="11" fillId="0" borderId="1" xfId="0" applyNumberFormat="1" applyFont="1" applyBorder="1" applyAlignment="1">
      <alignment horizontal="right" wrapText="1"/>
      <protection locked="0"/>
    </xf>
    <xf numFmtId="164" fontId="11" fillId="0" borderId="2" xfId="0" applyNumberFormat="1" applyFont="1" applyBorder="1" applyAlignment="1">
      <alignment horizontal="right" wrapText="1"/>
      <protection locked="0"/>
    </xf>
    <xf numFmtId="39" fontId="11" fillId="0" borderId="0" xfId="0" applyNumberFormat="1" applyFont="1" applyBorder="1" applyAlignment="1">
      <alignment horizontal="right" wrapText="1"/>
      <protection locked="0"/>
    </xf>
    <xf numFmtId="164" fontId="10" fillId="0" borderId="2" xfId="0" applyNumberFormat="1" applyFont="1" applyBorder="1" applyAlignment="1">
      <alignment horizontal="right" wrapText="1"/>
      <protection locked="0"/>
    </xf>
    <xf numFmtId="39" fontId="13" fillId="0" borderId="0" xfId="0" applyNumberFormat="1" applyFont="1" applyAlignment="1">
      <alignment horizontal="right" wrapText="1"/>
      <protection locked="0"/>
    </xf>
    <xf numFmtId="0" fontId="19" fillId="0" borderId="0" xfId="0" applyFont="1" applyAlignment="1">
      <alignment vertical="top" wrapText="1"/>
      <protection locked="0"/>
    </xf>
    <xf numFmtId="164" fontId="0" fillId="0" borderId="0" xfId="0" applyNumberForma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wrapText="1"/>
      <protection locked="0"/>
    </xf>
    <xf numFmtId="164" fontId="10" fillId="0" borderId="1" xfId="0" applyNumberFormat="1" applyFont="1" applyFill="1" applyBorder="1" applyAlignment="1">
      <alignment horizontal="right" wrapText="1"/>
      <protection locked="0"/>
    </xf>
    <xf numFmtId="39" fontId="10" fillId="0" borderId="1" xfId="0" applyNumberFormat="1" applyFont="1" applyFill="1" applyBorder="1" applyAlignment="1">
      <alignment horizontal="right" wrapText="1"/>
      <protection locked="0"/>
    </xf>
    <xf numFmtId="164" fontId="10" fillId="0" borderId="1" xfId="0" applyNumberFormat="1" applyFont="1" applyFill="1" applyBorder="1" applyAlignment="1">
      <alignment horizontal="right"/>
      <protection locked="0"/>
    </xf>
    <xf numFmtId="39" fontId="10" fillId="0" borderId="1" xfId="0" applyNumberFormat="1" applyFont="1" applyFill="1" applyBorder="1" applyAlignment="1">
      <alignment horizontal="right"/>
      <protection locked="0"/>
    </xf>
    <xf numFmtId="0" fontId="3" fillId="0" borderId="0" xfId="0" applyFont="1" applyFill="1" applyAlignment="1">
      <alignment horizontal="left" wrapText="1"/>
      <protection locked="0"/>
    </xf>
    <xf numFmtId="164" fontId="3" fillId="0" borderId="0" xfId="0" applyNumberFormat="1" applyFont="1" applyFill="1" applyAlignment="1">
      <alignment horizontal="right" wrapText="1"/>
      <protection locked="0"/>
    </xf>
    <xf numFmtId="0" fontId="11" fillId="0" borderId="1" xfId="0" applyFont="1" applyFill="1" applyBorder="1" applyAlignment="1">
      <alignment horizontal="left" wrapText="1"/>
      <protection locked="0"/>
    </xf>
    <xf numFmtId="164" fontId="11" fillId="0" borderId="1" xfId="0" applyNumberFormat="1" applyFont="1" applyFill="1" applyBorder="1" applyAlignment="1">
      <alignment horizontal="right" wrapText="1"/>
      <protection locked="0"/>
    </xf>
    <xf numFmtId="0" fontId="11" fillId="0" borderId="2" xfId="0" applyFont="1" applyFill="1" applyBorder="1" applyAlignment="1">
      <alignment horizontal="left" wrapText="1"/>
      <protection locked="0"/>
    </xf>
    <xf numFmtId="0" fontId="3" fillId="0" borderId="2" xfId="0" applyFont="1" applyFill="1" applyBorder="1" applyAlignment="1">
      <alignment horizontal="left" wrapText="1"/>
      <protection locked="0"/>
    </xf>
    <xf numFmtId="0" fontId="10" fillId="0" borderId="2" xfId="0" applyFont="1" applyFill="1" applyBorder="1" applyAlignment="1">
      <alignment horizontal="left" wrapText="1"/>
      <protection locked="0"/>
    </xf>
    <xf numFmtId="164" fontId="11" fillId="0" borderId="1" xfId="0" applyNumberFormat="1" applyFont="1" applyFill="1" applyBorder="1" applyAlignment="1">
      <alignment horizontal="right"/>
      <protection locked="0"/>
    </xf>
    <xf numFmtId="39" fontId="11" fillId="0" borderId="1" xfId="0" applyNumberFormat="1" applyFont="1" applyFill="1" applyBorder="1" applyAlignment="1">
      <alignment horizontal="right"/>
      <protection locked="0"/>
    </xf>
    <xf numFmtId="37" fontId="14" fillId="0" borderId="1" xfId="0" applyNumberFormat="1" applyFont="1" applyBorder="1" applyAlignment="1">
      <alignment horizontal="center"/>
      <protection locked="0"/>
    </xf>
    <xf numFmtId="37" fontId="14" fillId="0" borderId="1" xfId="0" applyNumberFormat="1" applyFont="1" applyBorder="1" applyAlignment="1">
      <alignment horizontal="center" wrapText="1"/>
      <protection locked="0"/>
    </xf>
    <xf numFmtId="37" fontId="14" fillId="0" borderId="1" xfId="0" applyNumberFormat="1" applyFont="1" applyFill="1" applyBorder="1" applyAlignment="1">
      <alignment horizontal="center" wrapText="1"/>
      <protection locked="0"/>
    </xf>
    <xf numFmtId="0" fontId="10" fillId="0" borderId="0" xfId="0" applyFont="1">
      <alignment vertical="top"/>
      <protection locked="0"/>
    </xf>
    <xf numFmtId="0" fontId="10" fillId="0" borderId="0" xfId="0" applyFont="1" applyAlignment="1">
      <alignment horizontal="left" vertical="top"/>
      <protection locked="0"/>
    </xf>
    <xf numFmtId="165" fontId="10" fillId="0" borderId="0" xfId="0" applyNumberFormat="1" applyFont="1">
      <alignment vertical="top"/>
      <protection locked="0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left" vertical="center" wrapText="1"/>
    </xf>
    <xf numFmtId="165" fontId="13" fillId="3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>
      <alignment vertical="top"/>
      <protection locked="0"/>
    </xf>
    <xf numFmtId="0" fontId="10" fillId="0" borderId="2" xfId="0" applyFont="1" applyBorder="1" applyAlignment="1">
      <alignment horizontal="left" vertical="top"/>
      <protection locked="0"/>
    </xf>
    <xf numFmtId="165" fontId="10" fillId="0" borderId="2" xfId="0" applyNumberFormat="1" applyFont="1" applyBorder="1">
      <alignment vertical="top"/>
      <protection locked="0"/>
    </xf>
    <xf numFmtId="0" fontId="13" fillId="0" borderId="2" xfId="0" applyFont="1" applyBorder="1" applyAlignment="1">
      <alignment horizontal="left" vertical="top"/>
      <protection locked="0"/>
    </xf>
    <xf numFmtId="0" fontId="10" fillId="0" borderId="15" xfId="0" applyFont="1" applyBorder="1">
      <alignment vertical="top"/>
      <protection locked="0"/>
    </xf>
    <xf numFmtId="0" fontId="13" fillId="0" borderId="16" xfId="0" applyFont="1" applyBorder="1" applyAlignment="1">
      <alignment horizontal="left" vertical="top"/>
      <protection locked="0"/>
    </xf>
    <xf numFmtId="0" fontId="10" fillId="0" borderId="16" xfId="0" applyFont="1" applyBorder="1">
      <alignment vertical="top"/>
      <protection locked="0"/>
    </xf>
    <xf numFmtId="165" fontId="10" fillId="0" borderId="16" xfId="0" applyNumberFormat="1" applyFont="1" applyBorder="1">
      <alignment vertical="top"/>
      <protection locked="0"/>
    </xf>
    <xf numFmtId="0" fontId="10" fillId="0" borderId="18" xfId="0" applyFont="1" applyBorder="1">
      <alignment vertical="top"/>
      <protection locked="0"/>
    </xf>
    <xf numFmtId="165" fontId="10" fillId="0" borderId="13" xfId="0" applyNumberFormat="1" applyFont="1" applyBorder="1">
      <alignment vertical="top"/>
      <protection locked="0"/>
    </xf>
    <xf numFmtId="0" fontId="10" fillId="0" borderId="19" xfId="0" applyFont="1" applyBorder="1">
      <alignment vertical="top"/>
      <protection locked="0"/>
    </xf>
    <xf numFmtId="0" fontId="10" fillId="0" borderId="11" xfId="0" applyFont="1" applyBorder="1" applyAlignment="1">
      <alignment horizontal="left" vertical="top"/>
      <protection locked="0"/>
    </xf>
    <xf numFmtId="0" fontId="10" fillId="0" borderId="11" xfId="0" applyFont="1" applyBorder="1">
      <alignment vertical="top"/>
      <protection locked="0"/>
    </xf>
    <xf numFmtId="165" fontId="10" fillId="0" borderId="11" xfId="0" applyNumberFormat="1" applyFont="1" applyBorder="1">
      <alignment vertical="top"/>
      <protection locked="0"/>
    </xf>
    <xf numFmtId="0" fontId="10" fillId="0" borderId="20" xfId="0" applyFont="1" applyBorder="1">
      <alignment vertical="top"/>
      <protection locked="0"/>
    </xf>
    <xf numFmtId="0" fontId="10" fillId="0" borderId="20" xfId="0" applyFont="1" applyBorder="1" applyAlignment="1">
      <alignment horizontal="left" vertical="top"/>
      <protection locked="0"/>
    </xf>
    <xf numFmtId="165" fontId="10" fillId="0" borderId="20" xfId="0" applyNumberFormat="1" applyFont="1" applyBorder="1">
      <alignment vertical="top"/>
      <protection locked="0"/>
    </xf>
    <xf numFmtId="0" fontId="13" fillId="3" borderId="21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left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165" fontId="13" fillId="3" borderId="22" xfId="0" applyNumberFormat="1" applyFont="1" applyFill="1" applyBorder="1" applyAlignment="1" applyProtection="1">
      <alignment horizontal="center" vertical="center" wrapText="1"/>
    </xf>
    <xf numFmtId="165" fontId="13" fillId="3" borderId="23" xfId="0" applyNumberFormat="1" applyFont="1" applyFill="1" applyBorder="1" applyAlignment="1" applyProtection="1">
      <alignment horizontal="center" vertical="center" wrapText="1"/>
    </xf>
    <xf numFmtId="165" fontId="13" fillId="3" borderId="13" xfId="0" applyNumberFormat="1" applyFont="1" applyFill="1" applyBorder="1" applyAlignment="1" applyProtection="1">
      <alignment horizontal="center" vertical="center" wrapText="1"/>
    </xf>
    <xf numFmtId="165" fontId="13" fillId="0" borderId="14" xfId="0" applyNumberFormat="1" applyFont="1" applyBorder="1">
      <alignment vertical="top"/>
      <protection locked="0"/>
    </xf>
    <xf numFmtId="0" fontId="13" fillId="0" borderId="11" xfId="0" applyFont="1" applyBorder="1" applyAlignment="1">
      <alignment horizontal="left" vertical="top"/>
      <protection locked="0"/>
    </xf>
    <xf numFmtId="165" fontId="13" fillId="0" borderId="17" xfId="0" applyNumberFormat="1" applyFont="1" applyBorder="1">
      <alignment vertical="top"/>
      <protection locked="0"/>
    </xf>
    <xf numFmtId="0" fontId="10" fillId="0" borderId="18" xfId="0" applyFont="1" applyBorder="1" applyAlignment="1">
      <alignment horizontal="center" vertical="center"/>
      <protection locked="0"/>
    </xf>
    <xf numFmtId="0" fontId="10" fillId="3" borderId="18" xfId="0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left" vertical="top"/>
      <protection locked="0"/>
    </xf>
    <xf numFmtId="0" fontId="13" fillId="0" borderId="0" xfId="0" applyFont="1" applyAlignment="1" applyProtection="1">
      <alignment horizontal="center" vertical="center" wrapText="1"/>
    </xf>
    <xf numFmtId="164" fontId="10" fillId="0" borderId="2" xfId="0" applyNumberFormat="1" applyFont="1" applyBorder="1" applyAlignment="1">
      <alignment horizontal="left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center" vertical="center" wrapText="1"/>
      <protection locked="0"/>
    </xf>
    <xf numFmtId="0" fontId="3" fillId="0" borderId="0" xfId="0" applyFont="1" applyAlignment="1">
      <alignment horizontal="left"/>
      <protection locked="0"/>
    </xf>
    <xf numFmtId="37" fontId="14" fillId="0" borderId="1" xfId="0" applyNumberFormat="1" applyFont="1" applyFill="1" applyBorder="1" applyAlignment="1">
      <alignment horizontal="center" vertical="center" wrapText="1"/>
      <protection locked="0"/>
    </xf>
    <xf numFmtId="0" fontId="0" fillId="0" borderId="0" xfId="0" applyAlignment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 wrapText="1"/>
      <protection locked="0"/>
    </xf>
    <xf numFmtId="39" fontId="10" fillId="0" borderId="1" xfId="0" applyNumberFormat="1" applyFont="1" applyFill="1" applyBorder="1" applyAlignment="1">
      <alignment horizontal="center" vertical="center" wrapText="1"/>
      <protection locked="0"/>
    </xf>
    <xf numFmtId="39" fontId="0" fillId="0" borderId="0" xfId="0" applyNumberFormat="1" applyAlignment="1">
      <alignment horizontal="center" vertical="top" wrapText="1"/>
      <protection locked="0"/>
    </xf>
    <xf numFmtId="39" fontId="13" fillId="0" borderId="0" xfId="0" applyNumberFormat="1" applyFont="1" applyAlignment="1" applyProtection="1">
      <alignment horizontal="left" wrapText="1"/>
    </xf>
    <xf numFmtId="39" fontId="0" fillId="0" borderId="0" xfId="0" applyNumberFormat="1">
      <alignment vertical="top"/>
      <protection locked="0"/>
    </xf>
    <xf numFmtId="39" fontId="0" fillId="0" borderId="0" xfId="0" applyNumberFormat="1" applyAlignment="1">
      <alignment vertical="top"/>
      <protection locked="0"/>
    </xf>
    <xf numFmtId="49" fontId="10" fillId="0" borderId="2" xfId="0" applyNumberFormat="1" applyFont="1" applyBorder="1" applyAlignment="1">
      <alignment horizontal="left" wrapText="1"/>
      <protection locked="0"/>
    </xf>
    <xf numFmtId="164" fontId="3" fillId="0" borderId="0" xfId="0" applyNumberFormat="1" applyFont="1" applyFill="1" applyAlignment="1">
      <alignment horizontal="right"/>
      <protection locked="0"/>
    </xf>
    <xf numFmtId="39" fontId="3" fillId="0" borderId="0" xfId="0" applyNumberFormat="1" applyFont="1" applyFill="1" applyAlignment="1">
      <alignment horizontal="right"/>
      <protection locked="0"/>
    </xf>
    <xf numFmtId="0" fontId="19" fillId="0" borderId="0" xfId="0" applyFont="1" applyAlignment="1">
      <alignment horizontal="left" vertical="top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top" wrapText="1"/>
      <protection locked="0"/>
    </xf>
    <xf numFmtId="0" fontId="25" fillId="0" borderId="2" xfId="0" applyFont="1" applyBorder="1" applyAlignment="1" applyProtection="1"/>
    <xf numFmtId="0" fontId="13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2" fillId="3" borderId="1" xfId="0" applyFont="1" applyFill="1" applyBorder="1" applyAlignment="1" applyProtection="1">
      <alignment horizontal="right" vertical="center" wrapText="1"/>
    </xf>
    <xf numFmtId="0" fontId="1" fillId="2" borderId="0" xfId="0" applyFont="1" applyFill="1" applyAlignment="1" applyProtection="1">
      <alignment horizontal="right"/>
    </xf>
    <xf numFmtId="39" fontId="10" fillId="0" borderId="12" xfId="0" applyNumberFormat="1" applyFont="1" applyFill="1" applyBorder="1" applyAlignment="1">
      <alignment horizontal="right"/>
      <protection locked="0"/>
    </xf>
    <xf numFmtId="39" fontId="10" fillId="0" borderId="2" xfId="0" applyNumberFormat="1" applyFont="1" applyFill="1" applyBorder="1" applyAlignment="1">
      <alignment horizontal="right"/>
      <protection locked="0"/>
    </xf>
    <xf numFmtId="0" fontId="10" fillId="0" borderId="24" xfId="0" applyFont="1" applyFill="1" applyBorder="1" applyAlignment="1">
      <alignment horizontal="left" wrapText="1"/>
      <protection locked="0"/>
    </xf>
    <xf numFmtId="39" fontId="23" fillId="0" borderId="1" xfId="0" applyNumberFormat="1" applyFont="1" applyBorder="1" applyAlignment="1">
      <alignment horizontal="right"/>
      <protection locked="0"/>
    </xf>
    <xf numFmtId="0" fontId="3" fillId="0" borderId="25" xfId="0" applyFont="1" applyFill="1" applyBorder="1" applyAlignment="1">
      <alignment horizontal="left" wrapText="1"/>
      <protection locked="0"/>
    </xf>
    <xf numFmtId="0" fontId="11" fillId="0" borderId="25" xfId="0" applyFont="1" applyFill="1" applyBorder="1" applyAlignment="1">
      <alignment horizontal="left" wrapText="1"/>
      <protection locked="0"/>
    </xf>
    <xf numFmtId="164" fontId="10" fillId="0" borderId="25" xfId="0" applyNumberFormat="1" applyFont="1" applyFill="1" applyBorder="1" applyAlignment="1">
      <alignment horizontal="right"/>
      <protection locked="0"/>
    </xf>
    <xf numFmtId="39" fontId="10" fillId="0" borderId="25" xfId="0" applyNumberFormat="1" applyFont="1" applyFill="1" applyBorder="1" applyAlignment="1">
      <alignment horizontal="right"/>
      <protection locked="0"/>
    </xf>
    <xf numFmtId="39" fontId="10" fillId="0" borderId="26" xfId="0" applyNumberFormat="1" applyFont="1" applyFill="1" applyBorder="1" applyAlignment="1">
      <alignment horizontal="right"/>
      <protection locked="0"/>
    </xf>
    <xf numFmtId="0" fontId="11" fillId="0" borderId="12" xfId="0" applyFont="1" applyFill="1" applyBorder="1" applyAlignment="1">
      <alignment horizontal="left" wrapText="1"/>
      <protection locked="0"/>
    </xf>
    <xf numFmtId="164" fontId="11" fillId="0" borderId="12" xfId="0" applyNumberFormat="1" applyFont="1" applyFill="1" applyBorder="1" applyAlignment="1">
      <alignment horizontal="right"/>
      <protection locked="0"/>
    </xf>
    <xf numFmtId="39" fontId="11" fillId="0" borderId="12" xfId="0" applyNumberFormat="1" applyFont="1" applyFill="1" applyBorder="1" applyAlignment="1">
      <alignment horizontal="right"/>
      <protection locked="0"/>
    </xf>
    <xf numFmtId="0" fontId="11" fillId="0" borderId="27" xfId="0" applyFont="1" applyFill="1" applyBorder="1" applyAlignment="1">
      <alignment horizontal="left" wrapText="1"/>
      <protection locked="0"/>
    </xf>
    <xf numFmtId="164" fontId="10" fillId="0" borderId="29" xfId="0" applyNumberFormat="1" applyFont="1" applyFill="1" applyBorder="1" applyAlignment="1">
      <alignment horizontal="right"/>
      <protection locked="0"/>
    </xf>
    <xf numFmtId="0" fontId="10" fillId="0" borderId="28" xfId="0" applyFont="1" applyFill="1" applyBorder="1" applyAlignment="1">
      <alignment horizontal="left" wrapText="1"/>
      <protection locked="0"/>
    </xf>
    <xf numFmtId="39" fontId="23" fillId="0" borderId="1" xfId="0" applyNumberFormat="1" applyFont="1" applyFill="1" applyBorder="1" applyAlignment="1">
      <alignment horizontal="right"/>
      <protection locked="0"/>
    </xf>
    <xf numFmtId="39" fontId="23" fillId="0" borderId="2" xfId="0" applyNumberFormat="1" applyFont="1" applyFill="1" applyBorder="1" applyAlignment="1">
      <alignment horizontal="right"/>
      <protection locked="0"/>
    </xf>
    <xf numFmtId="0" fontId="0" fillId="0" borderId="0" xfId="0" applyAlignment="1" applyProtection="1"/>
    <xf numFmtId="0" fontId="0" fillId="0" borderId="0" xfId="0" applyFont="1" applyAlignment="1" applyProtection="1">
      <alignment vertical="center"/>
    </xf>
    <xf numFmtId="0" fontId="0" fillId="0" borderId="30" xfId="0" applyFont="1" applyBorder="1" applyAlignment="1" applyProtection="1">
      <alignment vertical="center"/>
    </xf>
    <xf numFmtId="0" fontId="0" fillId="0" borderId="31" xfId="0" applyFont="1" applyBorder="1" applyAlignment="1" applyProtection="1">
      <alignment vertical="center"/>
    </xf>
    <xf numFmtId="0" fontId="0" fillId="0" borderId="32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166" fontId="29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3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3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3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/>
    </xf>
    <xf numFmtId="0" fontId="33" fillId="0" borderId="32" xfId="0" applyFont="1" applyBorder="1" applyAlignment="1" applyProtection="1">
      <alignment vertical="center"/>
    </xf>
    <xf numFmtId="0" fontId="33" fillId="0" borderId="33" xfId="0" applyFont="1" applyBorder="1" applyAlignment="1" applyProtection="1">
      <alignment horizontal="left" vertical="center"/>
    </xf>
    <xf numFmtId="0" fontId="33" fillId="0" borderId="33" xfId="0" applyFont="1" applyBorder="1" applyAlignment="1" applyProtection="1">
      <alignment vertical="center"/>
    </xf>
    <xf numFmtId="4" fontId="33" fillId="0" borderId="33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32" xfId="0" applyFont="1" applyBorder="1" applyAlignment="1" applyProtection="1">
      <alignment vertical="center"/>
    </xf>
    <xf numFmtId="0" fontId="34" fillId="0" borderId="33" xfId="0" applyFont="1" applyBorder="1" applyAlignment="1" applyProtection="1">
      <alignment horizontal="left" vertical="center"/>
    </xf>
    <xf numFmtId="0" fontId="34" fillId="0" borderId="33" xfId="0" applyFont="1" applyBorder="1" applyAlignment="1" applyProtection="1">
      <alignment vertical="center"/>
    </xf>
    <xf numFmtId="4" fontId="34" fillId="0" borderId="33" xfId="0" applyNumberFormat="1" applyFont="1" applyBorder="1" applyAlignment="1" applyProtection="1">
      <alignment vertical="center"/>
    </xf>
    <xf numFmtId="0" fontId="0" fillId="0" borderId="34" xfId="0" applyFont="1" applyBorder="1" applyAlignment="1" applyProtection="1">
      <alignment vertical="center"/>
    </xf>
    <xf numFmtId="0" fontId="0" fillId="0" borderId="35" xfId="0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2" xfId="0" applyFont="1" applyBorder="1" applyAlignment="1" applyProtection="1">
      <alignment horizontal="center" vertical="center" wrapText="1"/>
    </xf>
    <xf numFmtId="0" fontId="30" fillId="4" borderId="36" xfId="0" applyFont="1" applyFill="1" applyBorder="1" applyAlignment="1" applyProtection="1">
      <alignment horizontal="center" vertical="center" wrapText="1"/>
    </xf>
    <xf numFmtId="0" fontId="30" fillId="4" borderId="37" xfId="0" applyFont="1" applyFill="1" applyBorder="1" applyAlignment="1" applyProtection="1">
      <alignment horizontal="center" vertical="center" wrapText="1"/>
    </xf>
    <xf numFmtId="0" fontId="30" fillId="4" borderId="38" xfId="0" applyFont="1" applyFill="1" applyBorder="1" applyAlignment="1" applyProtection="1">
      <alignment horizontal="center" vertical="center" wrapText="1"/>
    </xf>
    <xf numFmtId="0" fontId="30" fillId="4" borderId="0" xfId="0" applyFont="1" applyFill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35" fillId="0" borderId="36" xfId="0" applyFont="1" applyBorder="1" applyAlignment="1" applyProtection="1">
      <alignment horizontal="center" vertical="center" wrapText="1"/>
    </xf>
    <xf numFmtId="0" fontId="35" fillId="0" borderId="37" xfId="0" applyFont="1" applyBorder="1" applyAlignment="1" applyProtection="1">
      <alignment horizontal="center" vertical="center" wrapText="1"/>
    </xf>
    <xf numFmtId="0" fontId="35" fillId="0" borderId="3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2" fillId="0" borderId="0" xfId="0" applyFont="1" applyAlignment="1" applyProtection="1">
      <alignment horizontal="left" vertical="center"/>
    </xf>
    <xf numFmtId="4" fontId="32" fillId="0" borderId="0" xfId="0" applyNumberFormat="1" applyFont="1" applyAlignment="1" applyProtection="1"/>
    <xf numFmtId="0" fontId="0" fillId="0" borderId="39" xfId="0" applyFon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0" xfId="0" applyFont="1" applyBorder="1" applyAlignment="1" applyProtection="1">
      <alignment vertical="center"/>
    </xf>
    <xf numFmtId="167" fontId="36" fillId="0" borderId="40" xfId="0" applyNumberFormat="1" applyFont="1" applyBorder="1" applyAlignment="1" applyProtection="1"/>
    <xf numFmtId="167" fontId="36" fillId="0" borderId="41" xfId="0" applyNumberFormat="1" applyFont="1" applyBorder="1" applyAlignment="1" applyProtection="1"/>
    <xf numFmtId="4" fontId="37" fillId="0" borderId="0" xfId="0" applyNumberFormat="1" applyFont="1" applyAlignment="1" applyProtection="1">
      <alignment vertical="center"/>
    </xf>
    <xf numFmtId="0" fontId="38" fillId="0" borderId="0" xfId="0" applyFont="1" applyAlignment="1" applyProtection="1"/>
    <xf numFmtId="0" fontId="38" fillId="0" borderId="32" xfId="0" applyFont="1" applyBorder="1" applyAlignment="1" applyProtection="1"/>
    <xf numFmtId="0" fontId="38" fillId="0" borderId="0" xfId="0" applyFont="1" applyAlignment="1" applyProtection="1">
      <alignment horizontal="left"/>
    </xf>
    <xf numFmtId="0" fontId="33" fillId="0" borderId="0" xfId="0" applyFont="1" applyAlignment="1" applyProtection="1">
      <alignment horizontal="left"/>
    </xf>
    <xf numFmtId="4" fontId="33" fillId="0" borderId="0" xfId="0" applyNumberFormat="1" applyFont="1" applyAlignment="1" applyProtection="1"/>
    <xf numFmtId="0" fontId="38" fillId="0" borderId="42" xfId="0" applyFont="1" applyBorder="1" applyAlignment="1" applyProtection="1"/>
    <xf numFmtId="0" fontId="38" fillId="0" borderId="0" xfId="0" applyFont="1" applyBorder="1" applyAlignment="1" applyProtection="1"/>
    <xf numFmtId="167" fontId="38" fillId="0" borderId="0" xfId="0" applyNumberFormat="1" applyFont="1" applyBorder="1" applyAlignment="1" applyProtection="1"/>
    <xf numFmtId="167" fontId="38" fillId="0" borderId="43" xfId="0" applyNumberFormat="1" applyFont="1" applyBorder="1" applyAlignment="1" applyProtection="1"/>
    <xf numFmtId="0" fontId="38" fillId="0" borderId="0" xfId="0" applyFont="1" applyAlignment="1" applyProtection="1">
      <alignment horizontal="center"/>
    </xf>
    <xf numFmtId="4" fontId="38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/>
    </xf>
    <xf numFmtId="4" fontId="34" fillId="0" borderId="0" xfId="0" applyNumberFormat="1" applyFont="1" applyAlignment="1" applyProtection="1"/>
    <xf numFmtId="0" fontId="0" fillId="0" borderId="32" xfId="0" applyFont="1" applyBorder="1" applyAlignment="1" applyProtection="1">
      <alignment vertical="center"/>
      <protection locked="0"/>
    </xf>
    <xf numFmtId="0" fontId="30" fillId="0" borderId="44" xfId="0" applyFont="1" applyBorder="1" applyAlignment="1" applyProtection="1">
      <alignment horizontal="center" vertical="center"/>
      <protection locked="0"/>
    </xf>
    <xf numFmtId="49" fontId="30" fillId="0" borderId="44" xfId="0" applyNumberFormat="1" applyFont="1" applyBorder="1" applyAlignment="1" applyProtection="1">
      <alignment horizontal="left" vertical="center" wrapText="1"/>
      <protection locked="0"/>
    </xf>
    <xf numFmtId="0" fontId="30" fillId="0" borderId="44" xfId="0" applyFont="1" applyBorder="1" applyAlignment="1" applyProtection="1">
      <alignment horizontal="left" vertical="center" wrapText="1"/>
      <protection locked="0"/>
    </xf>
    <xf numFmtId="0" fontId="30" fillId="0" borderId="44" xfId="0" applyFont="1" applyBorder="1" applyAlignment="1" applyProtection="1">
      <alignment horizontal="center" vertical="center" wrapText="1"/>
      <protection locked="0"/>
    </xf>
    <xf numFmtId="168" fontId="30" fillId="0" borderId="44" xfId="0" applyNumberFormat="1" applyFont="1" applyBorder="1" applyAlignment="1" applyProtection="1">
      <alignment vertical="center"/>
      <protection locked="0"/>
    </xf>
    <xf numFmtId="4" fontId="30" fillId="0" borderId="44" xfId="0" applyNumberFormat="1" applyFont="1" applyBorder="1" applyAlignment="1" applyProtection="1">
      <alignment vertical="center"/>
      <protection locked="0"/>
    </xf>
    <xf numFmtId="0" fontId="0" fillId="0" borderId="44" xfId="0" applyFont="1" applyBorder="1" applyAlignment="1" applyProtection="1">
      <alignment vertical="center"/>
      <protection locked="0"/>
    </xf>
    <xf numFmtId="0" fontId="35" fillId="0" borderId="42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167" fontId="35" fillId="0" borderId="0" xfId="0" applyNumberFormat="1" applyFont="1" applyBorder="1" applyAlignment="1" applyProtection="1">
      <alignment vertical="center"/>
    </xf>
    <xf numFmtId="167" fontId="35" fillId="0" borderId="43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39" fillId="0" borderId="3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8" fontId="39" fillId="0" borderId="0" xfId="0" applyNumberFormat="1" applyFont="1" applyAlignment="1" applyProtection="1">
      <alignment vertical="center"/>
    </xf>
    <xf numFmtId="0" fontId="39" fillId="0" borderId="4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vertical="center"/>
    </xf>
    <xf numFmtId="0" fontId="39" fillId="0" borderId="43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41" fillId="0" borderId="32" xfId="0" applyFont="1" applyBorder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168" fontId="41" fillId="0" borderId="0" xfId="0" applyNumberFormat="1" applyFont="1" applyAlignment="1" applyProtection="1">
      <alignment vertical="center"/>
    </xf>
    <xf numFmtId="0" fontId="41" fillId="0" borderId="42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vertical="center"/>
    </xf>
    <xf numFmtId="0" fontId="41" fillId="0" borderId="43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2" fillId="0" borderId="32" xfId="0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 wrapText="1"/>
    </xf>
    <xf numFmtId="168" fontId="42" fillId="0" borderId="0" xfId="0" applyNumberFormat="1" applyFont="1" applyAlignment="1" applyProtection="1">
      <alignment vertical="center"/>
    </xf>
    <xf numFmtId="0" fontId="42" fillId="0" borderId="42" xfId="0" applyFont="1" applyBorder="1" applyAlignment="1" applyProtection="1">
      <alignment vertical="center"/>
    </xf>
    <xf numFmtId="0" fontId="42" fillId="0" borderId="0" xfId="0" applyFont="1" applyBorder="1" applyAlignment="1" applyProtection="1">
      <alignment vertical="center"/>
    </xf>
    <xf numFmtId="0" fontId="42" fillId="0" borderId="43" xfId="0" applyFont="1" applyBorder="1" applyAlignment="1" applyProtection="1">
      <alignment vertical="center"/>
    </xf>
    <xf numFmtId="0" fontId="43" fillId="0" borderId="0" xfId="0" applyFont="1" applyAlignment="1" applyProtection="1">
      <alignment vertical="center" wrapText="1"/>
    </xf>
    <xf numFmtId="0" fontId="0" fillId="0" borderId="42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3" xfId="0" applyFont="1" applyBorder="1" applyAlignment="1" applyProtection="1">
      <alignment vertical="center"/>
    </xf>
    <xf numFmtId="0" fontId="44" fillId="0" borderId="44" xfId="0" applyFont="1" applyBorder="1" applyAlignment="1" applyProtection="1">
      <alignment horizontal="center" vertical="center"/>
      <protection locked="0"/>
    </xf>
    <xf numFmtId="49" fontId="44" fillId="0" borderId="44" xfId="0" applyNumberFormat="1" applyFont="1" applyBorder="1" applyAlignment="1" applyProtection="1">
      <alignment horizontal="left" vertical="center" wrapText="1"/>
      <protection locked="0"/>
    </xf>
    <xf numFmtId="0" fontId="44" fillId="0" borderId="44" xfId="0" applyFont="1" applyBorder="1" applyAlignment="1" applyProtection="1">
      <alignment horizontal="left" vertical="center" wrapText="1"/>
      <protection locked="0"/>
    </xf>
    <xf numFmtId="0" fontId="44" fillId="0" borderId="44" xfId="0" applyFont="1" applyBorder="1" applyAlignment="1" applyProtection="1">
      <alignment horizontal="center" vertical="center" wrapText="1"/>
      <protection locked="0"/>
    </xf>
    <xf numFmtId="168" fontId="44" fillId="0" borderId="44" xfId="0" applyNumberFormat="1" applyFont="1" applyBorder="1" applyAlignment="1" applyProtection="1">
      <alignment vertical="center"/>
      <protection locked="0"/>
    </xf>
    <xf numFmtId="4" fontId="44" fillId="0" borderId="44" xfId="0" applyNumberFormat="1" applyFont="1" applyBorder="1" applyAlignment="1" applyProtection="1">
      <alignment vertical="center"/>
      <protection locked="0"/>
    </xf>
    <xf numFmtId="0" fontId="45" fillId="0" borderId="44" xfId="0" applyFont="1" applyBorder="1" applyAlignment="1" applyProtection="1">
      <alignment vertical="center"/>
      <protection locked="0"/>
    </xf>
    <xf numFmtId="0" fontId="45" fillId="0" borderId="32" xfId="0" applyFont="1" applyBorder="1" applyAlignment="1" applyProtection="1">
      <alignment vertical="center"/>
    </xf>
    <xf numFmtId="0" fontId="44" fillId="0" borderId="42" xfId="0" applyFont="1" applyBorder="1" applyAlignment="1" applyProtection="1">
      <alignment horizontal="left" vertical="center"/>
    </xf>
    <xf numFmtId="0" fontId="44" fillId="0" borderId="0" xfId="0" applyFont="1" applyBorder="1" applyAlignment="1" applyProtection="1">
      <alignment horizontal="center" vertical="center"/>
    </xf>
    <xf numFmtId="0" fontId="35" fillId="0" borderId="45" xfId="0" applyFont="1" applyBorder="1" applyAlignment="1" applyProtection="1">
      <alignment horizontal="left" vertical="center"/>
    </xf>
    <xf numFmtId="0" fontId="35" fillId="0" borderId="33" xfId="0" applyFont="1" applyBorder="1" applyAlignment="1" applyProtection="1">
      <alignment horizontal="center" vertical="center"/>
    </xf>
    <xf numFmtId="167" fontId="35" fillId="0" borderId="33" xfId="0" applyNumberFormat="1" applyFont="1" applyBorder="1" applyAlignment="1" applyProtection="1">
      <alignment vertical="center"/>
    </xf>
    <xf numFmtId="167" fontId="35" fillId="0" borderId="46" xfId="0" applyNumberFormat="1" applyFont="1" applyBorder="1" applyAlignment="1" applyProtection="1">
      <alignment vertical="center"/>
    </xf>
    <xf numFmtId="165" fontId="10" fillId="0" borderId="14" xfId="0" applyNumberFormat="1" applyFont="1" applyBorder="1">
      <alignment vertical="top"/>
      <protection locked="0"/>
    </xf>
    <xf numFmtId="37" fontId="14" fillId="0" borderId="1" xfId="0" applyNumberFormat="1" applyFont="1" applyFill="1" applyBorder="1" applyAlignment="1">
      <alignment horizontal="center"/>
      <protection locked="0"/>
    </xf>
    <xf numFmtId="37" fontId="14" fillId="5" borderId="1" xfId="0" applyNumberFormat="1" applyFont="1" applyFill="1" applyBorder="1" applyAlignment="1">
      <alignment horizontal="center"/>
      <protection locked="0"/>
    </xf>
    <xf numFmtId="37" fontId="14" fillId="5" borderId="1" xfId="0" applyNumberFormat="1" applyFont="1" applyFill="1" applyBorder="1" applyAlignment="1">
      <alignment horizontal="center" wrapText="1"/>
      <protection locked="0"/>
    </xf>
    <xf numFmtId="0" fontId="11" fillId="5" borderId="1" xfId="0" applyFont="1" applyFill="1" applyBorder="1" applyAlignment="1">
      <alignment horizontal="left" wrapText="1"/>
      <protection locked="0"/>
    </xf>
    <xf numFmtId="39" fontId="11" fillId="6" borderId="1" xfId="0" applyNumberFormat="1" applyFont="1" applyFill="1" applyBorder="1" applyAlignment="1">
      <alignment horizontal="right" wrapText="1"/>
      <protection locked="0"/>
    </xf>
    <xf numFmtId="0" fontId="0" fillId="6" borderId="0" xfId="0" applyFill="1" applyAlignment="1">
      <alignment vertical="top" wrapText="1"/>
      <protection locked="0"/>
    </xf>
    <xf numFmtId="164" fontId="11" fillId="0" borderId="12" xfId="0" applyNumberFormat="1" applyFont="1" applyFill="1" applyBorder="1" applyAlignment="1">
      <alignment horizontal="right" wrapText="1"/>
      <protection locked="0"/>
    </xf>
    <xf numFmtId="0" fontId="11" fillId="0" borderId="47" xfId="0" applyFont="1" applyFill="1" applyBorder="1" applyAlignment="1">
      <alignment horizontal="left" wrapText="1"/>
      <protection locked="0"/>
    </xf>
    <xf numFmtId="0" fontId="10" fillId="5" borderId="1" xfId="0" applyFont="1" applyFill="1" applyBorder="1" applyAlignment="1">
      <alignment horizontal="left" wrapText="1"/>
      <protection locked="0"/>
    </xf>
    <xf numFmtId="37" fontId="14" fillId="5" borderId="1" xfId="0" applyNumberFormat="1" applyFont="1" applyFill="1" applyBorder="1" applyAlignment="1">
      <alignment horizontal="center" vertical="center" wrapText="1"/>
      <protection locked="0"/>
    </xf>
    <xf numFmtId="0" fontId="10" fillId="6" borderId="0" xfId="0" applyFont="1" applyFill="1" applyBorder="1" applyAlignment="1">
      <alignment horizontal="left" wrapText="1"/>
      <protection locked="0"/>
    </xf>
    <xf numFmtId="39" fontId="10" fillId="6" borderId="0" xfId="0" applyNumberFormat="1" applyFont="1" applyFill="1" applyBorder="1" applyAlignment="1">
      <alignment horizontal="right" wrapText="1"/>
      <protection locked="0"/>
    </xf>
    <xf numFmtId="37" fontId="14" fillId="6" borderId="0" xfId="0" applyNumberFormat="1" applyFont="1" applyFill="1" applyBorder="1" applyAlignment="1">
      <alignment horizontal="center" vertical="center" wrapText="1"/>
      <protection locked="0"/>
    </xf>
    <xf numFmtId="39" fontId="10" fillId="0" borderId="27" xfId="0" applyNumberFormat="1" applyFont="1" applyFill="1" applyBorder="1" applyAlignment="1">
      <alignment horizontal="right" wrapText="1"/>
      <protection locked="0"/>
    </xf>
    <xf numFmtId="0" fontId="0" fillId="0" borderId="48" xfId="0" applyBorder="1">
      <alignment vertical="top"/>
      <protection locked="0"/>
    </xf>
    <xf numFmtId="169" fontId="14" fillId="0" borderId="48" xfId="0" applyNumberFormat="1" applyFont="1" applyFill="1" applyBorder="1" applyAlignment="1" applyProtection="1">
      <alignment horizontal="center"/>
    </xf>
    <xf numFmtId="0" fontId="48" fillId="0" borderId="3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164" fontId="10" fillId="0" borderId="0" xfId="0" applyNumberFormat="1" applyFont="1" applyBorder="1" applyAlignment="1">
      <alignment horizontal="right"/>
      <protection locked="0"/>
    </xf>
    <xf numFmtId="37" fontId="14" fillId="0" borderId="12" xfId="0" applyNumberFormat="1" applyFont="1" applyBorder="1" applyAlignment="1">
      <alignment horizontal="center" wrapText="1"/>
      <protection locked="0"/>
    </xf>
    <xf numFmtId="164" fontId="10" fillId="0" borderId="2" xfId="0" applyNumberFormat="1" applyFont="1" applyFill="1" applyBorder="1" applyAlignment="1">
      <alignment horizontal="right"/>
      <protection locked="0"/>
    </xf>
    <xf numFmtId="0" fontId="30" fillId="5" borderId="44" xfId="0" applyFont="1" applyFill="1" applyBorder="1" applyAlignment="1" applyProtection="1">
      <alignment horizontal="center" vertical="center"/>
      <protection locked="0"/>
    </xf>
    <xf numFmtId="0" fontId="39" fillId="5" borderId="0" xfId="0" applyFont="1" applyFill="1" applyAlignment="1" applyProtection="1">
      <alignment vertical="center"/>
    </xf>
    <xf numFmtId="0" fontId="30" fillId="0" borderId="44" xfId="0" applyFont="1" applyFill="1" applyBorder="1" applyAlignment="1" applyProtection="1">
      <alignment horizontal="center" vertical="center"/>
      <protection locked="0"/>
    </xf>
    <xf numFmtId="49" fontId="30" fillId="0" borderId="44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44" xfId="0" applyFont="1" applyFill="1" applyBorder="1" applyAlignment="1" applyProtection="1">
      <alignment horizontal="left" vertical="center" wrapText="1"/>
      <protection locked="0"/>
    </xf>
    <xf numFmtId="0" fontId="30" fillId="0" borderId="44" xfId="0" applyFont="1" applyFill="1" applyBorder="1" applyAlignment="1" applyProtection="1">
      <alignment horizontal="center" vertical="center" wrapText="1"/>
      <protection locked="0"/>
    </xf>
    <xf numFmtId="168" fontId="30" fillId="0" borderId="44" xfId="0" applyNumberFormat="1" applyFont="1" applyFill="1" applyBorder="1" applyAlignment="1" applyProtection="1">
      <alignment vertical="center"/>
      <protection locked="0"/>
    </xf>
    <xf numFmtId="4" fontId="30" fillId="0" borderId="44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Fill="1" applyAlignment="1" applyProtection="1">
      <alignment horizontal="left" vertical="center"/>
    </xf>
    <xf numFmtId="0" fontId="39" fillId="0" borderId="0" xfId="0" applyFont="1" applyFill="1" applyAlignment="1" applyProtection="1">
      <alignment horizontal="left" vertical="center"/>
    </xf>
    <xf numFmtId="0" fontId="39" fillId="0" borderId="0" xfId="0" applyFont="1" applyFill="1" applyAlignment="1" applyProtection="1">
      <alignment horizontal="left" vertical="center" wrapText="1"/>
    </xf>
    <xf numFmtId="0" fontId="39" fillId="0" borderId="0" xfId="0" applyFont="1" applyFill="1" applyAlignment="1" applyProtection="1">
      <alignment vertical="center"/>
    </xf>
    <xf numFmtId="168" fontId="39" fillId="0" borderId="0" xfId="0" applyNumberFormat="1" applyFont="1" applyFill="1" applyAlignment="1" applyProtection="1">
      <alignment vertical="center"/>
    </xf>
    <xf numFmtId="0" fontId="38" fillId="8" borderId="0" xfId="0" applyFont="1" applyFill="1" applyAlignment="1" applyProtection="1"/>
    <xf numFmtId="0" fontId="38" fillId="8" borderId="0" xfId="0" applyFont="1" applyFill="1" applyAlignment="1" applyProtection="1">
      <alignment horizontal="left"/>
    </xf>
    <xf numFmtId="0" fontId="34" fillId="8" borderId="0" xfId="0" applyFont="1" applyFill="1" applyAlignment="1" applyProtection="1">
      <alignment horizontal="left"/>
    </xf>
    <xf numFmtId="4" fontId="34" fillId="8" borderId="0" xfId="0" applyNumberFormat="1" applyFont="1" applyFill="1" applyAlignment="1" applyProtection="1"/>
    <xf numFmtId="37" fontId="14" fillId="0" borderId="24" xfId="0" applyNumberFormat="1" applyFont="1" applyBorder="1" applyAlignment="1">
      <alignment horizontal="center" wrapText="1"/>
      <protection locked="0"/>
    </xf>
    <xf numFmtId="0" fontId="10" fillId="0" borderId="25" xfId="0" applyFont="1" applyFill="1" applyBorder="1" applyAlignment="1">
      <alignment horizontal="left" wrapText="1"/>
      <protection locked="0"/>
    </xf>
    <xf numFmtId="0" fontId="10" fillId="0" borderId="49" xfId="0" applyFont="1" applyFill="1" applyBorder="1" applyAlignment="1">
      <alignment horizontal="left" wrapText="1"/>
      <protection locked="0"/>
    </xf>
    <xf numFmtId="164" fontId="10" fillId="0" borderId="49" xfId="0" applyNumberFormat="1" applyFont="1" applyFill="1" applyBorder="1" applyAlignment="1">
      <alignment horizontal="right" wrapText="1"/>
      <protection locked="0"/>
    </xf>
    <xf numFmtId="39" fontId="10" fillId="0" borderId="49" xfId="0" applyNumberFormat="1" applyFont="1" applyFill="1" applyBorder="1" applyAlignment="1">
      <alignment horizontal="right"/>
      <protection locked="0"/>
    </xf>
    <xf numFmtId="37" fontId="14" fillId="5" borderId="12" xfId="0" applyNumberFormat="1" applyFont="1" applyFill="1" applyBorder="1" applyAlignment="1">
      <alignment horizontal="center" wrapText="1"/>
      <protection locked="0"/>
    </xf>
    <xf numFmtId="0" fontId="3" fillId="8" borderId="0" xfId="0" applyFont="1" applyFill="1" applyAlignment="1">
      <alignment horizontal="left" wrapText="1"/>
      <protection locked="0"/>
    </xf>
    <xf numFmtId="0" fontId="12" fillId="8" borderId="0" xfId="0" applyFont="1" applyFill="1" applyAlignment="1">
      <alignment horizontal="left" vertical="top" wrapText="1"/>
      <protection locked="0"/>
    </xf>
    <xf numFmtId="164" fontId="12" fillId="8" borderId="0" xfId="0" applyNumberFormat="1" applyFont="1" applyFill="1" applyAlignment="1">
      <alignment horizontal="right" vertical="top"/>
      <protection locked="0"/>
    </xf>
    <xf numFmtId="39" fontId="12" fillId="8" borderId="0" xfId="0" applyNumberFormat="1" applyFont="1" applyFill="1" applyAlignment="1">
      <alignment horizontal="right" vertical="top"/>
      <protection locked="0"/>
    </xf>
    <xf numFmtId="39" fontId="3" fillId="8" borderId="0" xfId="0" applyNumberFormat="1" applyFont="1" applyFill="1" applyAlignment="1">
      <alignment horizontal="right"/>
      <protection locked="0"/>
    </xf>
    <xf numFmtId="164" fontId="3" fillId="8" borderId="0" xfId="0" applyNumberFormat="1" applyFont="1" applyFill="1" applyAlignment="1">
      <alignment horizontal="right" wrapText="1"/>
      <protection locked="0"/>
    </xf>
    <xf numFmtId="0" fontId="13" fillId="8" borderId="0" xfId="0" applyFont="1" applyFill="1" applyAlignment="1">
      <alignment horizontal="left" wrapText="1"/>
      <protection locked="0"/>
    </xf>
    <xf numFmtId="39" fontId="3" fillId="8" borderId="0" xfId="0" applyNumberFormat="1" applyFont="1" applyFill="1" applyAlignment="1">
      <alignment horizontal="right" wrapText="1"/>
      <protection locked="0"/>
    </xf>
    <xf numFmtId="0" fontId="3" fillId="7" borderId="0" xfId="0" applyFont="1" applyFill="1" applyAlignment="1">
      <alignment horizontal="left" wrapText="1"/>
      <protection locked="0"/>
    </xf>
    <xf numFmtId="0" fontId="12" fillId="7" borderId="0" xfId="0" applyFont="1" applyFill="1" applyAlignment="1">
      <alignment horizontal="left" vertical="top" wrapText="1"/>
      <protection locked="0"/>
    </xf>
    <xf numFmtId="164" fontId="12" fillId="7" borderId="0" xfId="0" applyNumberFormat="1" applyFont="1" applyFill="1" applyAlignment="1">
      <alignment horizontal="right" vertical="top"/>
      <protection locked="0"/>
    </xf>
    <xf numFmtId="39" fontId="12" fillId="7" borderId="0" xfId="0" applyNumberFormat="1" applyFont="1" applyFill="1" applyAlignment="1">
      <alignment horizontal="right" vertical="top"/>
      <protection locked="0"/>
    </xf>
    <xf numFmtId="164" fontId="3" fillId="7" borderId="0" xfId="0" applyNumberFormat="1" applyFont="1" applyFill="1" applyAlignment="1">
      <alignment horizontal="right" wrapText="1"/>
      <protection locked="0"/>
    </xf>
    <xf numFmtId="39" fontId="3" fillId="7" borderId="0" xfId="0" applyNumberFormat="1" applyFont="1" applyFill="1" applyAlignment="1">
      <alignment horizontal="right" wrapText="1"/>
      <protection locked="0"/>
    </xf>
    <xf numFmtId="39" fontId="3" fillId="7" borderId="0" xfId="0" applyNumberFormat="1" applyFont="1" applyFill="1" applyAlignment="1">
      <alignment horizontal="right"/>
      <protection locked="0"/>
    </xf>
    <xf numFmtId="37" fontId="14" fillId="5" borderId="1" xfId="0" applyNumberFormat="1" applyFont="1" applyFill="1" applyBorder="1" applyAlignment="1">
      <protection locked="0"/>
    </xf>
    <xf numFmtId="0" fontId="13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wrapText="1"/>
    </xf>
    <xf numFmtId="0" fontId="1" fillId="2" borderId="0" xfId="0" applyFont="1" applyFill="1" applyAlignment="1" applyProtection="1">
      <alignment horizontal="center" wrapText="1"/>
    </xf>
    <xf numFmtId="164" fontId="3" fillId="8" borderId="0" xfId="0" applyNumberFormat="1" applyFont="1" applyFill="1" applyAlignment="1">
      <alignment horizontal="right"/>
      <protection locked="0"/>
    </xf>
    <xf numFmtId="164" fontId="3" fillId="7" borderId="0" xfId="0" applyNumberFormat="1" applyFont="1" applyFill="1" applyAlignment="1">
      <alignment horizontal="right"/>
      <protection locked="0"/>
    </xf>
    <xf numFmtId="0" fontId="10" fillId="8" borderId="0" xfId="0" applyFont="1" applyFill="1" applyBorder="1" applyAlignment="1">
      <alignment horizontal="left" wrapText="1"/>
      <protection locked="0"/>
    </xf>
    <xf numFmtId="164" fontId="10" fillId="8" borderId="0" xfId="0" applyNumberFormat="1" applyFont="1" applyFill="1" applyBorder="1" applyAlignment="1">
      <alignment horizontal="right"/>
      <protection locked="0"/>
    </xf>
    <xf numFmtId="39" fontId="10" fillId="8" borderId="0" xfId="0" applyNumberFormat="1" applyFont="1" applyFill="1" applyBorder="1" applyAlignment="1">
      <alignment horizontal="right"/>
      <protection locked="0"/>
    </xf>
    <xf numFmtId="0" fontId="10" fillId="5" borderId="18" xfId="0" applyFont="1" applyFill="1" applyBorder="1" applyAlignment="1" applyProtection="1">
      <alignment horizontal="center" vertical="center" wrapText="1"/>
    </xf>
    <xf numFmtId="0" fontId="10" fillId="5" borderId="18" xfId="0" applyFont="1" applyFill="1" applyBorder="1" applyAlignment="1">
      <alignment horizontal="center" vertical="center"/>
      <protection locked="0"/>
    </xf>
    <xf numFmtId="0" fontId="10" fillId="5" borderId="19" xfId="0" applyFont="1" applyFill="1" applyBorder="1" applyAlignment="1">
      <alignment horizontal="center" vertical="center"/>
      <protection locked="0"/>
    </xf>
    <xf numFmtId="164" fontId="23" fillId="0" borderId="1" xfId="0" applyNumberFormat="1" applyFont="1" applyFill="1" applyBorder="1" applyAlignment="1">
      <alignment horizontal="right"/>
      <protection locked="0"/>
    </xf>
    <xf numFmtId="165" fontId="25" fillId="0" borderId="2" xfId="0" applyNumberFormat="1" applyFont="1" applyBorder="1" applyAlignment="1" applyProtection="1">
      <alignment horizontal="right"/>
    </xf>
    <xf numFmtId="165" fontId="25" fillId="0" borderId="13" xfId="0" applyNumberFormat="1" applyFont="1" applyBorder="1" applyAlignment="1" applyProtection="1">
      <alignment horizontal="right"/>
    </xf>
    <xf numFmtId="0" fontId="0" fillId="0" borderId="6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165" fontId="18" fillId="0" borderId="2" xfId="0" applyNumberFormat="1" applyFont="1" applyBorder="1" applyAlignment="1" applyProtection="1">
      <alignment horizontal="right"/>
    </xf>
    <xf numFmtId="165" fontId="18" fillId="0" borderId="13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 vertical="center" wrapText="1"/>
    </xf>
    <xf numFmtId="165" fontId="18" fillId="0" borderId="11" xfId="0" applyNumberFormat="1" applyFont="1" applyBorder="1" applyAlignment="1" applyProtection="1">
      <alignment horizontal="right"/>
    </xf>
    <xf numFmtId="165" fontId="18" fillId="0" borderId="14" xfId="0" applyNumberFormat="1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27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5_Regina/5_Presentace_Odevzd&#225;n&#237;/02_DPS/95_DPS_210811/95_rozpocet%20celkovy_upravy_210806_mm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ÁŘ"/>
      <sheetName val="95_F1a"/>
      <sheetName val="95_F1b_Rozvojova pece"/>
      <sheetName val="95_F2a"/>
      <sheetName val="95_F2b_Rozvojova pece"/>
      <sheetName val="95_F3a"/>
      <sheetName val="95_F3b_Rozvojova pece"/>
      <sheetName val="95_F4"/>
      <sheetName val="95_Závlaha"/>
      <sheetName val="95_F1c_Závlaha"/>
      <sheetName val="95_F1d_Kanalizace"/>
    </sheetNames>
    <sheetDataSet>
      <sheetData sheetId="0" refreshError="1"/>
      <sheetData sheetId="1">
        <row r="13">
          <cell r="G13">
            <v>1814711.8879999998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zoomScale="60" workbookViewId="0">
      <selection activeCell="C18" sqref="C18:H18"/>
    </sheetView>
  </sheetViews>
  <sheetFormatPr defaultRowHeight="10.5"/>
  <cols>
    <col min="1" max="1" width="24.1640625" customWidth="1"/>
    <col min="2" max="2" width="64.6640625" customWidth="1"/>
    <col min="8" max="8" width="18.5" customWidth="1"/>
  </cols>
  <sheetData>
    <row r="1" spans="1:10" ht="13.5">
      <c r="A1" s="17"/>
      <c r="B1" s="18"/>
      <c r="C1" s="18"/>
      <c r="D1" s="18"/>
      <c r="E1" s="18"/>
      <c r="F1" s="18"/>
      <c r="G1" s="18"/>
      <c r="H1" s="19"/>
    </row>
    <row r="2" spans="1:10" ht="72" customHeight="1">
      <c r="A2" s="20" t="s">
        <v>212</v>
      </c>
      <c r="B2" s="21" t="s">
        <v>224</v>
      </c>
      <c r="C2" s="22"/>
      <c r="D2" s="22"/>
      <c r="E2" s="22"/>
      <c r="F2" s="22"/>
      <c r="G2" s="22"/>
      <c r="H2" s="23"/>
    </row>
    <row r="3" spans="1:10" ht="20.25">
      <c r="A3" s="24" t="s">
        <v>213</v>
      </c>
      <c r="B3" s="399" t="s">
        <v>487</v>
      </c>
      <c r="C3" s="399"/>
      <c r="D3" s="399"/>
      <c r="E3" s="399"/>
      <c r="F3" s="399"/>
      <c r="G3" s="25"/>
      <c r="H3" s="26"/>
    </row>
    <row r="4" spans="1:10" ht="13.5">
      <c r="A4" s="27"/>
      <c r="B4" s="28"/>
      <c r="C4" s="28"/>
      <c r="D4" s="28"/>
      <c r="E4" s="28"/>
      <c r="F4" s="28"/>
      <c r="G4" s="28"/>
      <c r="H4" s="29"/>
    </row>
    <row r="5" spans="1:10" ht="15">
      <c r="A5" s="20" t="s">
        <v>214</v>
      </c>
      <c r="B5" s="30" t="s">
        <v>223</v>
      </c>
      <c r="C5" s="28"/>
      <c r="D5" s="28"/>
      <c r="E5" s="28"/>
      <c r="F5" s="28"/>
      <c r="G5" s="31" t="s">
        <v>215</v>
      </c>
      <c r="H5" s="29"/>
    </row>
    <row r="6" spans="1:10" ht="13.5">
      <c r="A6" s="27"/>
      <c r="B6" s="28"/>
      <c r="C6" s="28"/>
      <c r="D6" s="28"/>
      <c r="E6" s="28"/>
      <c r="F6" s="28"/>
      <c r="G6" s="28"/>
      <c r="H6" s="29"/>
    </row>
    <row r="7" spans="1:10" ht="15">
      <c r="A7" s="20" t="s">
        <v>216</v>
      </c>
      <c r="B7" s="30"/>
      <c r="C7" s="28"/>
      <c r="D7" s="28"/>
      <c r="E7" s="28"/>
      <c r="F7" s="28"/>
      <c r="G7" s="31" t="s">
        <v>217</v>
      </c>
      <c r="H7" s="29"/>
    </row>
    <row r="8" spans="1:10" ht="15">
      <c r="A8" s="20" t="s">
        <v>218</v>
      </c>
      <c r="B8" s="30"/>
      <c r="C8" s="28"/>
      <c r="D8" s="28"/>
      <c r="E8" s="28"/>
      <c r="F8" s="28"/>
      <c r="G8" s="31" t="s">
        <v>219</v>
      </c>
      <c r="H8" s="29"/>
    </row>
    <row r="9" spans="1:10" ht="15.75" thickBot="1">
      <c r="A9" s="32"/>
      <c r="B9" s="33"/>
      <c r="C9" s="33"/>
      <c r="D9" s="34"/>
      <c r="E9" s="34"/>
      <c r="F9" s="33"/>
      <c r="G9" s="33"/>
      <c r="H9" s="35"/>
    </row>
    <row r="10" spans="1:10" ht="15.75" thickBot="1">
      <c r="A10" s="36"/>
      <c r="B10" s="36"/>
      <c r="C10" s="36"/>
      <c r="E10" s="37"/>
      <c r="F10" s="36"/>
      <c r="G10" s="36"/>
      <c r="H10" s="36"/>
      <c r="J10" s="37"/>
    </row>
    <row r="11" spans="1:10" ht="15">
      <c r="A11" s="39"/>
      <c r="B11" s="40"/>
      <c r="C11" s="40"/>
      <c r="D11" s="41"/>
      <c r="E11" s="41"/>
      <c r="F11" s="40"/>
      <c r="G11" s="40"/>
      <c r="H11" s="42"/>
    </row>
    <row r="12" spans="1:10" ht="19.5">
      <c r="A12" s="20" t="s">
        <v>225</v>
      </c>
      <c r="B12" s="38" t="s">
        <v>315</v>
      </c>
      <c r="C12" s="397">
        <f>SUM(C13:H18)</f>
        <v>0</v>
      </c>
      <c r="D12" s="397"/>
      <c r="E12" s="397"/>
      <c r="F12" s="397"/>
      <c r="G12" s="397"/>
      <c r="H12" s="398">
        <f>'[1]95_F1a'!G13</f>
        <v>1814711.8879999998</v>
      </c>
    </row>
    <row r="13" spans="1:10" ht="15.75">
      <c r="A13" s="20"/>
      <c r="B13" s="175" t="s">
        <v>488</v>
      </c>
      <c r="C13" s="392">
        <f>'95_F1a'!G13</f>
        <v>0</v>
      </c>
      <c r="D13" s="392"/>
      <c r="E13" s="392"/>
      <c r="F13" s="392"/>
      <c r="G13" s="392"/>
      <c r="H13" s="393"/>
    </row>
    <row r="14" spans="1:10" ht="15.75">
      <c r="A14" s="20"/>
      <c r="B14" s="175" t="s">
        <v>489</v>
      </c>
      <c r="C14" s="392">
        <f>'95_F1a'!G193</f>
        <v>0</v>
      </c>
      <c r="D14" s="392"/>
      <c r="E14" s="392"/>
      <c r="F14" s="392"/>
      <c r="G14" s="392"/>
      <c r="H14" s="393"/>
    </row>
    <row r="15" spans="1:10" ht="15.75">
      <c r="A15" s="20"/>
      <c r="B15" s="175" t="s">
        <v>490</v>
      </c>
      <c r="C15" s="392">
        <f>'95_F1b_Rozvojova pece'!H25</f>
        <v>0</v>
      </c>
      <c r="D15" s="392"/>
      <c r="E15" s="392"/>
      <c r="F15" s="392"/>
      <c r="G15" s="392"/>
      <c r="H15" s="393"/>
    </row>
    <row r="16" spans="1:10" ht="15.75">
      <c r="A16" s="20"/>
      <c r="B16" s="175" t="s">
        <v>491</v>
      </c>
      <c r="C16" s="392">
        <f>'95_F1c_Závlaha'!F13</f>
        <v>0</v>
      </c>
      <c r="D16" s="392"/>
      <c r="E16" s="392"/>
      <c r="F16" s="392"/>
      <c r="G16" s="392"/>
      <c r="H16" s="393"/>
    </row>
    <row r="17" spans="1:8" ht="15.75">
      <c r="A17" s="20"/>
      <c r="B17" s="175" t="s">
        <v>492</v>
      </c>
      <c r="C17" s="392">
        <f>'95_F1d_Kanalizace'!J48</f>
        <v>0</v>
      </c>
      <c r="D17" s="392"/>
      <c r="E17" s="392"/>
      <c r="F17" s="392"/>
      <c r="G17" s="392"/>
      <c r="H17" s="393"/>
    </row>
    <row r="18" spans="1:8" ht="15.75">
      <c r="A18" s="20"/>
      <c r="B18" s="175" t="s">
        <v>493</v>
      </c>
      <c r="C18" s="392">
        <f>'95_F1d_Kanalizace'!J207</f>
        <v>0</v>
      </c>
      <c r="D18" s="392"/>
      <c r="E18" s="392"/>
      <c r="F18" s="392"/>
      <c r="G18" s="392"/>
      <c r="H18" s="393"/>
    </row>
    <row r="19" spans="1:8" ht="19.5">
      <c r="A19" s="20" t="s">
        <v>225</v>
      </c>
      <c r="B19" s="38" t="s">
        <v>316</v>
      </c>
      <c r="C19" s="397">
        <f>SUM(C20:H22)</f>
        <v>0</v>
      </c>
      <c r="D19" s="397"/>
      <c r="E19" s="397"/>
      <c r="F19" s="397"/>
      <c r="G19" s="397"/>
      <c r="H19" s="398"/>
    </row>
    <row r="20" spans="1:8" ht="15.75">
      <c r="A20" s="20"/>
      <c r="B20" s="175" t="s">
        <v>494</v>
      </c>
      <c r="C20" s="392">
        <f>'95_F2a'!G13</f>
        <v>0</v>
      </c>
      <c r="D20" s="392"/>
      <c r="E20" s="392"/>
      <c r="F20" s="392"/>
      <c r="G20" s="392"/>
      <c r="H20" s="393"/>
    </row>
    <row r="21" spans="1:8" ht="15.75">
      <c r="A21" s="20"/>
      <c r="B21" s="175" t="s">
        <v>495</v>
      </c>
      <c r="C21" s="392">
        <f>'95_F2a'!G153</f>
        <v>0</v>
      </c>
      <c r="D21" s="392"/>
      <c r="E21" s="392"/>
      <c r="F21" s="392"/>
      <c r="G21" s="392"/>
      <c r="H21" s="393"/>
    </row>
    <row r="22" spans="1:8" ht="15.75">
      <c r="A22" s="20"/>
      <c r="B22" s="175" t="s">
        <v>496</v>
      </c>
      <c r="C22" s="392">
        <f>'95_F2b_Rozvojova pece'!H19</f>
        <v>0</v>
      </c>
      <c r="D22" s="392"/>
      <c r="E22" s="392"/>
      <c r="F22" s="392"/>
      <c r="G22" s="392"/>
      <c r="H22" s="393"/>
    </row>
    <row r="23" spans="1:8">
      <c r="A23" s="394"/>
      <c r="B23" s="395"/>
      <c r="C23" s="395"/>
      <c r="D23" s="395"/>
      <c r="E23" s="395"/>
      <c r="F23" s="395"/>
      <c r="G23" s="395"/>
      <c r="H23" s="396"/>
    </row>
    <row r="24" spans="1:8" ht="14.45" customHeight="1">
      <c r="A24" s="394"/>
      <c r="B24" s="395"/>
      <c r="C24" s="395"/>
      <c r="D24" s="395"/>
      <c r="E24" s="395"/>
      <c r="F24" s="395"/>
      <c r="G24" s="395"/>
      <c r="H24" s="396"/>
    </row>
    <row r="25" spans="1:8" ht="14.25" customHeight="1">
      <c r="A25" s="394"/>
      <c r="B25" s="395"/>
      <c r="C25" s="395"/>
      <c r="D25" s="395"/>
      <c r="E25" s="395"/>
      <c r="F25" s="395"/>
      <c r="G25" s="395"/>
      <c r="H25" s="396"/>
    </row>
    <row r="26" spans="1:8" ht="19.5" customHeight="1">
      <c r="A26" s="43"/>
      <c r="B26" s="38" t="s">
        <v>220</v>
      </c>
      <c r="C26" s="397">
        <f>C12+C19</f>
        <v>0</v>
      </c>
      <c r="D26" s="397"/>
      <c r="E26" s="397"/>
      <c r="F26" s="397"/>
      <c r="G26" s="397"/>
      <c r="H26" s="398"/>
    </row>
    <row r="27" spans="1:8" ht="19.5">
      <c r="A27" s="43"/>
      <c r="B27" s="38" t="s">
        <v>221</v>
      </c>
      <c r="C27" s="397">
        <f>C26*0.21</f>
        <v>0</v>
      </c>
      <c r="D27" s="397"/>
      <c r="E27" s="397"/>
      <c r="F27" s="397"/>
      <c r="G27" s="397"/>
      <c r="H27" s="398"/>
    </row>
    <row r="28" spans="1:8" ht="20.25" thickBot="1">
      <c r="A28" s="32"/>
      <c r="B28" s="44" t="s">
        <v>222</v>
      </c>
      <c r="C28" s="400">
        <f>SUM(C26:H27)</f>
        <v>0</v>
      </c>
      <c r="D28" s="400"/>
      <c r="E28" s="400"/>
      <c r="F28" s="400"/>
      <c r="G28" s="400"/>
      <c r="H28" s="401"/>
    </row>
  </sheetData>
  <mergeCells count="16">
    <mergeCell ref="C27:H27"/>
    <mergeCell ref="C28:H28"/>
    <mergeCell ref="C12:H12"/>
    <mergeCell ref="C19:H19"/>
    <mergeCell ref="C13:H13"/>
    <mergeCell ref="C14:H14"/>
    <mergeCell ref="C15:H15"/>
    <mergeCell ref="C20:H20"/>
    <mergeCell ref="C21:H21"/>
    <mergeCell ref="C22:H22"/>
    <mergeCell ref="C16:H16"/>
    <mergeCell ref="C17:H17"/>
    <mergeCell ref="C18:H18"/>
    <mergeCell ref="A23:H25"/>
    <mergeCell ref="C26:H26"/>
    <mergeCell ref="B3:F3"/>
  </mergeCells>
  <pageMargins left="0.7" right="0.7" top="0.78740157499999996" bottom="0.78740157499999996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1"/>
  <sheetViews>
    <sheetView showGridLines="0" zoomScale="80" zoomScaleNormal="80" zoomScaleSheetLayoutView="100" workbookViewId="0">
      <selection activeCell="F16" sqref="F16:F201"/>
    </sheetView>
  </sheetViews>
  <sheetFormatPr defaultColWidth="10.5" defaultRowHeight="12" customHeight="1"/>
  <cols>
    <col min="1" max="1" width="9.1640625" style="2" customWidth="1"/>
    <col min="2" max="2" width="15.5" style="3" customWidth="1"/>
    <col min="3" max="3" width="96.5" style="3" customWidth="1"/>
    <col min="4" max="4" width="5.5" style="3" customWidth="1"/>
    <col min="5" max="5" width="12.5" style="4" customWidth="1"/>
    <col min="6" max="6" width="15.83203125" style="5" customWidth="1"/>
    <col min="7" max="7" width="20.5" style="5" customWidth="1"/>
    <col min="8" max="14" width="17.83203125" style="5" hidden="1" customWidth="1"/>
    <col min="15" max="16384" width="10.5" style="1"/>
  </cols>
  <sheetData>
    <row r="1" spans="1:14" s="6" customFormat="1" ht="27.75" customHeight="1">
      <c r="A1" s="402" t="s"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3"/>
    </row>
    <row r="2" spans="1:14" s="6" customFormat="1" ht="12.75" customHeight="1">
      <c r="A2" s="72" t="s">
        <v>422</v>
      </c>
      <c r="B2" s="72"/>
      <c r="C2" s="73"/>
      <c r="D2" s="72"/>
      <c r="E2" s="72"/>
      <c r="F2" s="72"/>
      <c r="G2" s="177"/>
      <c r="H2" s="72"/>
      <c r="I2" s="72"/>
      <c r="J2" s="72"/>
      <c r="K2" s="72"/>
      <c r="L2" s="72"/>
      <c r="M2" s="72"/>
      <c r="N2" s="70"/>
    </row>
    <row r="3" spans="1:14" s="6" customFormat="1" ht="12.75" customHeight="1">
      <c r="A3" s="72" t="s">
        <v>1</v>
      </c>
      <c r="B3" s="72"/>
      <c r="C3" s="73"/>
      <c r="D3" s="72"/>
      <c r="E3" s="72"/>
      <c r="F3" s="72"/>
      <c r="G3" s="177"/>
      <c r="H3" s="72"/>
      <c r="I3" s="72"/>
      <c r="J3" s="72"/>
      <c r="K3" s="72"/>
      <c r="L3" s="72"/>
      <c r="M3" s="72"/>
      <c r="N3" s="70"/>
    </row>
    <row r="4" spans="1:14" s="6" customFormat="1" ht="13.5" customHeight="1">
      <c r="A4" s="74"/>
      <c r="B4" s="72"/>
      <c r="C4" s="75"/>
      <c r="D4" s="72"/>
      <c r="E4" s="72"/>
      <c r="F4" s="72"/>
      <c r="G4" s="177"/>
      <c r="H4" s="72"/>
      <c r="I4" s="72"/>
      <c r="J4" s="72"/>
      <c r="K4" s="72"/>
      <c r="L4" s="72"/>
      <c r="M4" s="72"/>
      <c r="N4" s="72"/>
    </row>
    <row r="5" spans="1:14" s="6" customFormat="1" ht="6.75" customHeight="1">
      <c r="A5" s="76"/>
      <c r="B5" s="77"/>
      <c r="C5" s="78"/>
      <c r="D5" s="77"/>
      <c r="E5" s="79"/>
      <c r="F5" s="80"/>
      <c r="G5" s="81"/>
      <c r="H5" s="81"/>
      <c r="I5" s="80"/>
      <c r="J5" s="80"/>
      <c r="K5" s="80"/>
      <c r="L5" s="80"/>
      <c r="M5" s="80"/>
      <c r="N5" s="80"/>
    </row>
    <row r="6" spans="1:14" s="6" customFormat="1" ht="13.5" customHeight="1">
      <c r="A6" s="82" t="s">
        <v>2</v>
      </c>
      <c r="B6" s="77"/>
      <c r="C6" s="78"/>
      <c r="D6" s="77"/>
      <c r="E6" s="79"/>
      <c r="F6" s="80"/>
      <c r="G6" s="81"/>
      <c r="H6" s="81"/>
      <c r="I6" s="80"/>
      <c r="J6" s="80"/>
      <c r="K6" s="80"/>
      <c r="L6" s="80"/>
      <c r="M6" s="80"/>
      <c r="N6" s="80"/>
    </row>
    <row r="7" spans="1:14" s="6" customFormat="1" ht="13.5" customHeight="1">
      <c r="A7" s="82" t="s">
        <v>3</v>
      </c>
      <c r="B7" s="77"/>
      <c r="C7" s="78"/>
      <c r="D7" s="77"/>
      <c r="E7" s="79"/>
      <c r="F7" s="80"/>
      <c r="G7" s="81"/>
      <c r="H7" s="81"/>
      <c r="I7" s="80"/>
      <c r="J7" s="80"/>
      <c r="K7" s="82" t="s">
        <v>4</v>
      </c>
      <c r="L7" s="80"/>
      <c r="M7" s="80"/>
      <c r="N7" s="80"/>
    </row>
    <row r="8" spans="1:14" s="6" customFormat="1" ht="13.5" customHeight="1">
      <c r="A8" s="82" t="s">
        <v>836</v>
      </c>
      <c r="B8" s="77"/>
      <c r="C8" s="78"/>
      <c r="D8" s="77"/>
      <c r="E8" s="79"/>
      <c r="F8" s="80"/>
      <c r="G8" s="81"/>
      <c r="H8" s="81"/>
      <c r="I8" s="80"/>
      <c r="J8" s="80"/>
      <c r="K8" s="82" t="s">
        <v>6</v>
      </c>
      <c r="L8" s="80"/>
      <c r="M8" s="80"/>
      <c r="N8" s="80"/>
    </row>
    <row r="9" spans="1:14" s="6" customFormat="1" ht="6.75" customHeight="1">
      <c r="A9" s="7"/>
      <c r="B9" s="7"/>
      <c r="C9" s="15"/>
      <c r="D9" s="7"/>
      <c r="E9" s="7"/>
      <c r="F9" s="7"/>
      <c r="G9" s="178"/>
      <c r="H9" s="7"/>
      <c r="I9" s="7"/>
      <c r="J9" s="7"/>
      <c r="K9" s="7"/>
      <c r="L9" s="7"/>
      <c r="M9" s="7"/>
      <c r="N9" s="7"/>
    </row>
    <row r="10" spans="1:14" s="6" customFormat="1" ht="27" customHeight="1">
      <c r="A10" s="8" t="s">
        <v>7</v>
      </c>
      <c r="B10" s="8" t="s">
        <v>8</v>
      </c>
      <c r="C10" s="8" t="s">
        <v>9</v>
      </c>
      <c r="D10" s="8" t="s">
        <v>10</v>
      </c>
      <c r="E10" s="8" t="s">
        <v>11</v>
      </c>
      <c r="F10" s="8" t="s">
        <v>12</v>
      </c>
      <c r="G10" s="179" t="s">
        <v>13</v>
      </c>
      <c r="H10" s="8" t="s">
        <v>14</v>
      </c>
      <c r="I10" s="8" t="s">
        <v>15</v>
      </c>
      <c r="J10" s="8" t="s">
        <v>16</v>
      </c>
      <c r="K10" s="8" t="s">
        <v>17</v>
      </c>
      <c r="L10" s="8" t="s">
        <v>18</v>
      </c>
      <c r="M10" s="8" t="s">
        <v>19</v>
      </c>
      <c r="N10" s="8" t="s">
        <v>20</v>
      </c>
    </row>
    <row r="11" spans="1:14" s="6" customFormat="1" ht="12.75" hidden="1" customHeight="1">
      <c r="A11" s="8" t="s">
        <v>21</v>
      </c>
      <c r="B11" s="8" t="s">
        <v>22</v>
      </c>
      <c r="C11" s="8" t="s">
        <v>23</v>
      </c>
      <c r="D11" s="8" t="s">
        <v>24</v>
      </c>
      <c r="E11" s="8" t="s">
        <v>25</v>
      </c>
      <c r="F11" s="8" t="s">
        <v>26</v>
      </c>
      <c r="G11" s="179" t="s">
        <v>27</v>
      </c>
      <c r="H11" s="8" t="s">
        <v>28</v>
      </c>
      <c r="I11" s="8" t="s">
        <v>29</v>
      </c>
      <c r="J11" s="8" t="s">
        <v>30</v>
      </c>
      <c r="K11" s="8" t="s">
        <v>31</v>
      </c>
      <c r="L11" s="8" t="s">
        <v>32</v>
      </c>
      <c r="M11" s="8" t="s">
        <v>33</v>
      </c>
      <c r="N11" s="8" t="s">
        <v>34</v>
      </c>
    </row>
    <row r="12" spans="1:14" s="6" customFormat="1" ht="12.75" hidden="1" customHeight="1">
      <c r="A12" s="9"/>
      <c r="B12" s="9"/>
      <c r="C12" s="16"/>
      <c r="D12" s="9"/>
      <c r="E12" s="9"/>
      <c r="F12" s="9"/>
      <c r="G12" s="180"/>
      <c r="H12" s="9"/>
      <c r="I12" s="9"/>
      <c r="J12" s="9"/>
      <c r="K12" s="9"/>
      <c r="L12" s="9"/>
      <c r="M12" s="9"/>
      <c r="N12" s="9"/>
    </row>
    <row r="13" spans="1:14" s="6" customFormat="1" ht="30.75" customHeight="1">
      <c r="A13" s="10"/>
      <c r="B13" s="371" t="s">
        <v>35</v>
      </c>
      <c r="C13" s="371" t="s">
        <v>36</v>
      </c>
      <c r="D13" s="371"/>
      <c r="E13" s="384"/>
      <c r="F13" s="377"/>
      <c r="G13" s="377">
        <f>G14+G42+G68+G113+G119+G121+G184</f>
        <v>0</v>
      </c>
      <c r="H13" s="12">
        <v>376378.02500000002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</row>
    <row r="14" spans="1:14" s="6" customFormat="1" ht="28.5" customHeight="1">
      <c r="A14" s="10"/>
      <c r="B14" s="363" t="s">
        <v>21</v>
      </c>
      <c r="C14" s="363" t="s">
        <v>37</v>
      </c>
      <c r="D14" s="363"/>
      <c r="E14" s="383"/>
      <c r="F14" s="367"/>
      <c r="G14" s="367">
        <f>SUM(G16:G41)</f>
        <v>0</v>
      </c>
      <c r="H14" s="12">
        <v>43328.6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</row>
    <row r="15" spans="1:14" s="6" customFormat="1" ht="28.5" customHeight="1">
      <c r="A15" s="10"/>
      <c r="B15" s="363"/>
      <c r="C15" s="363" t="s">
        <v>95</v>
      </c>
      <c r="D15" s="363"/>
      <c r="E15" s="383"/>
      <c r="F15" s="367"/>
      <c r="G15" s="367"/>
      <c r="H15" s="12"/>
      <c r="I15" s="12"/>
      <c r="J15" s="12"/>
      <c r="K15" s="12"/>
      <c r="L15" s="12"/>
      <c r="M15" s="12"/>
      <c r="N15" s="12"/>
    </row>
    <row r="16" spans="1:14" s="6" customFormat="1" ht="38.25">
      <c r="A16" s="118">
        <v>1</v>
      </c>
      <c r="B16" s="327" t="s">
        <v>38</v>
      </c>
      <c r="C16" s="45" t="s">
        <v>39</v>
      </c>
      <c r="D16" s="45" t="s">
        <v>40</v>
      </c>
      <c r="E16" s="46">
        <v>239</v>
      </c>
      <c r="F16" s="47"/>
      <c r="G16" s="47">
        <f>F16*E16</f>
        <v>0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</row>
    <row r="17" spans="1:14" s="6" customFormat="1" ht="38.25">
      <c r="A17" s="118">
        <v>2</v>
      </c>
      <c r="B17" s="45" t="s">
        <v>41</v>
      </c>
      <c r="C17" s="45" t="s">
        <v>42</v>
      </c>
      <c r="D17" s="45" t="s">
        <v>40</v>
      </c>
      <c r="E17" s="46">
        <v>214</v>
      </c>
      <c r="F17" s="47"/>
      <c r="G17" s="47">
        <f t="shared" ref="G17:G41" si="0">F17*E17</f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</row>
    <row r="18" spans="1:14" s="6" customFormat="1" ht="25.5">
      <c r="A18" s="118">
        <v>3</v>
      </c>
      <c r="B18" s="45" t="s">
        <v>43</v>
      </c>
      <c r="C18" s="45" t="s">
        <v>44</v>
      </c>
      <c r="D18" s="45" t="s">
        <v>45</v>
      </c>
      <c r="E18" s="46">
        <v>31.5</v>
      </c>
      <c r="F18" s="47"/>
      <c r="G18" s="47">
        <f t="shared" si="0"/>
        <v>0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</row>
    <row r="19" spans="1:14" s="6" customFormat="1" ht="25.5">
      <c r="A19" s="118">
        <v>4</v>
      </c>
      <c r="B19" s="45">
        <v>131201102</v>
      </c>
      <c r="C19" s="45" t="s">
        <v>96</v>
      </c>
      <c r="D19" s="45" t="s">
        <v>45</v>
      </c>
      <c r="E19" s="46">
        <f>7.5+116.25</f>
        <v>123.75</v>
      </c>
      <c r="F19" s="47"/>
      <c r="G19" s="47">
        <f t="shared" si="0"/>
        <v>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</row>
    <row r="20" spans="1:14" s="6" customFormat="1" ht="25.5">
      <c r="A20" s="118">
        <v>5</v>
      </c>
      <c r="B20" s="45" t="s">
        <v>43</v>
      </c>
      <c r="C20" s="45" t="s">
        <v>44</v>
      </c>
      <c r="D20" s="45" t="s">
        <v>45</v>
      </c>
      <c r="E20" s="46">
        <v>14.4</v>
      </c>
      <c r="F20" s="47"/>
      <c r="G20" s="47">
        <f t="shared" si="0"/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</row>
    <row r="21" spans="1:14" s="6" customFormat="1" ht="25.5">
      <c r="A21" s="118">
        <v>6</v>
      </c>
      <c r="B21" s="45" t="s">
        <v>46</v>
      </c>
      <c r="C21" s="45" t="s">
        <v>47</v>
      </c>
      <c r="D21" s="45" t="s">
        <v>45</v>
      </c>
      <c r="E21" s="46">
        <v>9.8000000000000007</v>
      </c>
      <c r="F21" s="47"/>
      <c r="G21" s="47">
        <f t="shared" si="0"/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</row>
    <row r="22" spans="1:14" s="6" customFormat="1" ht="25.5">
      <c r="A22" s="118">
        <v>7</v>
      </c>
      <c r="B22" s="45" t="s">
        <v>46</v>
      </c>
      <c r="C22" s="45" t="s">
        <v>47</v>
      </c>
      <c r="D22" s="45" t="s">
        <v>45</v>
      </c>
      <c r="E22" s="46">
        <v>31.5</v>
      </c>
      <c r="F22" s="47"/>
      <c r="G22" s="47">
        <f t="shared" si="0"/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</row>
    <row r="23" spans="1:14" s="6" customFormat="1" ht="25.5">
      <c r="A23" s="118">
        <v>8</v>
      </c>
      <c r="B23" s="45" t="s">
        <v>46</v>
      </c>
      <c r="C23" s="45" t="s">
        <v>47</v>
      </c>
      <c r="D23" s="45" t="s">
        <v>45</v>
      </c>
      <c r="E23" s="46">
        <f>7.5+116.25</f>
        <v>123.75</v>
      </c>
      <c r="F23" s="47"/>
      <c r="G23" s="47">
        <f t="shared" si="0"/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</row>
    <row r="24" spans="1:14" s="6" customFormat="1" ht="25.5">
      <c r="A24" s="118">
        <v>9</v>
      </c>
      <c r="B24" s="45" t="s">
        <v>46</v>
      </c>
      <c r="C24" s="45" t="s">
        <v>47</v>
      </c>
      <c r="D24" s="45" t="s">
        <v>45</v>
      </c>
      <c r="E24" s="46">
        <v>14.4</v>
      </c>
      <c r="F24" s="47"/>
      <c r="G24" s="47">
        <f t="shared" si="0"/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</row>
    <row r="25" spans="1:14" s="6" customFormat="1" ht="25.5">
      <c r="A25" s="118">
        <v>10</v>
      </c>
      <c r="B25" s="45" t="s">
        <v>46</v>
      </c>
      <c r="C25" s="45" t="s">
        <v>47</v>
      </c>
      <c r="D25" s="45" t="s">
        <v>45</v>
      </c>
      <c r="E25" s="46">
        <f>E21</f>
        <v>9.8000000000000007</v>
      </c>
      <c r="F25" s="47"/>
      <c r="G25" s="47">
        <f t="shared" si="0"/>
        <v>0</v>
      </c>
      <c r="H25" s="47"/>
      <c r="I25" s="47"/>
      <c r="J25" s="47"/>
      <c r="K25" s="47"/>
      <c r="L25" s="47"/>
      <c r="M25" s="47"/>
      <c r="N25" s="47"/>
    </row>
    <row r="26" spans="1:14" s="6" customFormat="1" ht="38.25">
      <c r="A26" s="118">
        <v>11</v>
      </c>
      <c r="B26" s="45" t="s">
        <v>48</v>
      </c>
      <c r="C26" s="45" t="s">
        <v>49</v>
      </c>
      <c r="D26" s="45" t="s">
        <v>45</v>
      </c>
      <c r="E26" s="46">
        <v>9.8000000000000007</v>
      </c>
      <c r="F26" s="47"/>
      <c r="G26" s="47">
        <f t="shared" si="0"/>
        <v>0</v>
      </c>
      <c r="H26" s="47">
        <v>0</v>
      </c>
      <c r="I26" s="47">
        <v>0</v>
      </c>
      <c r="J26" s="47">
        <v>0</v>
      </c>
      <c r="K26" s="47">
        <v>0</v>
      </c>
      <c r="L26" s="47">
        <v>0</v>
      </c>
      <c r="M26" s="47">
        <v>0</v>
      </c>
      <c r="N26" s="47">
        <v>0</v>
      </c>
    </row>
    <row r="27" spans="1:14" s="6" customFormat="1" ht="38.25">
      <c r="A27" s="118">
        <v>12</v>
      </c>
      <c r="B27" s="45" t="s">
        <v>48</v>
      </c>
      <c r="C27" s="45" t="s">
        <v>49</v>
      </c>
      <c r="D27" s="45" t="s">
        <v>45</v>
      </c>
      <c r="E27" s="46">
        <v>31.5</v>
      </c>
      <c r="F27" s="47"/>
      <c r="G27" s="47">
        <f t="shared" si="0"/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47">
        <v>0</v>
      </c>
    </row>
    <row r="28" spans="1:14" s="6" customFormat="1" ht="38.25">
      <c r="A28" s="118">
        <v>13</v>
      </c>
      <c r="B28" s="45" t="s">
        <v>48</v>
      </c>
      <c r="C28" s="45" t="s">
        <v>49</v>
      </c>
      <c r="D28" s="45" t="s">
        <v>45</v>
      </c>
      <c r="E28" s="46">
        <f>7.5+116.25</f>
        <v>123.75</v>
      </c>
      <c r="F28" s="47"/>
      <c r="G28" s="47">
        <f t="shared" si="0"/>
        <v>0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</row>
    <row r="29" spans="1:14" s="6" customFormat="1" ht="38.25">
      <c r="A29" s="118">
        <v>14</v>
      </c>
      <c r="B29" s="45" t="s">
        <v>48</v>
      </c>
      <c r="C29" s="45" t="s">
        <v>49</v>
      </c>
      <c r="D29" s="45" t="s">
        <v>45</v>
      </c>
      <c r="E29" s="46">
        <v>14.4</v>
      </c>
      <c r="F29" s="47"/>
      <c r="G29" s="47">
        <f t="shared" si="0"/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</row>
    <row r="30" spans="1:14" s="6" customFormat="1" ht="34.5" customHeight="1">
      <c r="A30" s="118">
        <v>15</v>
      </c>
      <c r="B30" s="45">
        <v>167101101</v>
      </c>
      <c r="C30" s="45" t="s">
        <v>257</v>
      </c>
      <c r="D30" s="45" t="s">
        <v>45</v>
      </c>
      <c r="E30" s="46">
        <v>9.8000000000000007</v>
      </c>
      <c r="F30" s="47"/>
      <c r="G30" s="47">
        <f t="shared" si="0"/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</row>
    <row r="31" spans="1:14" s="6" customFormat="1" ht="34.5" customHeight="1">
      <c r="A31" s="118">
        <v>16</v>
      </c>
      <c r="B31" s="45">
        <v>167101101</v>
      </c>
      <c r="C31" s="45" t="s">
        <v>258</v>
      </c>
      <c r="D31" s="45" t="s">
        <v>45</v>
      </c>
      <c r="E31" s="46">
        <v>31.5</v>
      </c>
      <c r="F31" s="47"/>
      <c r="G31" s="47">
        <f t="shared" si="0"/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</row>
    <row r="32" spans="1:14" s="6" customFormat="1" ht="34.5" customHeight="1">
      <c r="A32" s="118">
        <v>17</v>
      </c>
      <c r="B32" s="45" t="s">
        <v>50</v>
      </c>
      <c r="C32" s="45" t="s">
        <v>51</v>
      </c>
      <c r="D32" s="45" t="s">
        <v>45</v>
      </c>
      <c r="E32" s="46">
        <f>7.5+116.25</f>
        <v>123.75</v>
      </c>
      <c r="F32" s="47"/>
      <c r="G32" s="47">
        <f t="shared" si="0"/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</row>
    <row r="33" spans="1:14" s="6" customFormat="1" ht="34.5" customHeight="1">
      <c r="A33" s="118">
        <v>18</v>
      </c>
      <c r="B33" s="45">
        <v>167101101</v>
      </c>
      <c r="C33" s="45" t="s">
        <v>257</v>
      </c>
      <c r="D33" s="45" t="s">
        <v>45</v>
      </c>
      <c r="E33" s="46">
        <v>14.4</v>
      </c>
      <c r="F33" s="47"/>
      <c r="G33" s="47">
        <f t="shared" si="0"/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</row>
    <row r="34" spans="1:14" s="6" customFormat="1" ht="13.5" customHeight="1">
      <c r="A34" s="118">
        <v>19</v>
      </c>
      <c r="B34" s="45" t="s">
        <v>52</v>
      </c>
      <c r="C34" s="45" t="s">
        <v>53</v>
      </c>
      <c r="D34" s="45" t="s">
        <v>45</v>
      </c>
      <c r="E34" s="46">
        <v>9.8000000000000007</v>
      </c>
      <c r="F34" s="47"/>
      <c r="G34" s="47">
        <f t="shared" si="0"/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</row>
    <row r="35" spans="1:14" s="6" customFormat="1" ht="13.5" customHeight="1">
      <c r="A35" s="118">
        <v>20</v>
      </c>
      <c r="B35" s="45" t="s">
        <v>52</v>
      </c>
      <c r="C35" s="45" t="s">
        <v>53</v>
      </c>
      <c r="D35" s="45" t="s">
        <v>45</v>
      </c>
      <c r="E35" s="46">
        <v>31.5</v>
      </c>
      <c r="F35" s="47"/>
      <c r="G35" s="47">
        <f t="shared" si="0"/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</row>
    <row r="36" spans="1:14" s="6" customFormat="1" ht="13.5" customHeight="1">
      <c r="A36" s="118">
        <v>21</v>
      </c>
      <c r="B36" s="45" t="s">
        <v>52</v>
      </c>
      <c r="C36" s="45" t="s">
        <v>53</v>
      </c>
      <c r="D36" s="45" t="s">
        <v>45</v>
      </c>
      <c r="E36" s="46">
        <f>7.5+116.25</f>
        <v>123.75</v>
      </c>
      <c r="F36" s="47"/>
      <c r="G36" s="47">
        <f t="shared" si="0"/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</row>
    <row r="37" spans="1:14" s="6" customFormat="1" ht="13.5" customHeight="1">
      <c r="A37" s="118">
        <v>22</v>
      </c>
      <c r="B37" s="45" t="s">
        <v>52</v>
      </c>
      <c r="C37" s="45" t="s">
        <v>53</v>
      </c>
      <c r="D37" s="45" t="s">
        <v>45</v>
      </c>
      <c r="E37" s="46">
        <v>14.4</v>
      </c>
      <c r="F37" s="47"/>
      <c r="G37" s="47">
        <f t="shared" si="0"/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</row>
    <row r="38" spans="1:14" s="6" customFormat="1" ht="25.5">
      <c r="A38" s="118">
        <v>23</v>
      </c>
      <c r="B38" s="45" t="s">
        <v>54</v>
      </c>
      <c r="C38" s="45" t="s">
        <v>55</v>
      </c>
      <c r="D38" s="45" t="s">
        <v>56</v>
      </c>
      <c r="E38" s="46">
        <v>17.64</v>
      </c>
      <c r="F38" s="47"/>
      <c r="G38" s="47">
        <f t="shared" si="0"/>
        <v>0</v>
      </c>
      <c r="H38" s="47">
        <v>2469.6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</row>
    <row r="39" spans="1:14" s="6" customFormat="1" ht="25.5">
      <c r="A39" s="118">
        <v>24</v>
      </c>
      <c r="B39" s="45" t="s">
        <v>54</v>
      </c>
      <c r="C39" s="45" t="s">
        <v>55</v>
      </c>
      <c r="D39" s="45" t="s">
        <v>56</v>
      </c>
      <c r="E39" s="46">
        <v>56.7</v>
      </c>
      <c r="F39" s="47"/>
      <c r="G39" s="47">
        <f t="shared" si="0"/>
        <v>0</v>
      </c>
      <c r="H39" s="47">
        <v>7938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</row>
    <row r="40" spans="1:14" s="6" customFormat="1" ht="25.5">
      <c r="A40" s="118">
        <v>25</v>
      </c>
      <c r="B40" s="45" t="s">
        <v>54</v>
      </c>
      <c r="C40" s="45" t="s">
        <v>55</v>
      </c>
      <c r="D40" s="45" t="s">
        <v>56</v>
      </c>
      <c r="E40" s="46">
        <f>15+209.25</f>
        <v>224.25</v>
      </c>
      <c r="F40" s="47"/>
      <c r="G40" s="47">
        <f t="shared" si="0"/>
        <v>0</v>
      </c>
      <c r="H40" s="47">
        <v>29295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</row>
    <row r="41" spans="1:14" s="6" customFormat="1" ht="25.5">
      <c r="A41" s="118">
        <v>26</v>
      </c>
      <c r="B41" s="45" t="s">
        <v>54</v>
      </c>
      <c r="C41" s="45" t="s">
        <v>55</v>
      </c>
      <c r="D41" s="45" t="s">
        <v>56</v>
      </c>
      <c r="E41" s="46">
        <v>25.9</v>
      </c>
      <c r="F41" s="47"/>
      <c r="G41" s="47">
        <f t="shared" si="0"/>
        <v>0</v>
      </c>
      <c r="H41" s="47">
        <v>3626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</row>
    <row r="42" spans="1:14" s="6" customFormat="1" ht="34.5" customHeight="1">
      <c r="A42" s="319">
        <v>27</v>
      </c>
      <c r="B42" s="385"/>
      <c r="C42" s="363" t="s">
        <v>314</v>
      </c>
      <c r="D42" s="385"/>
      <c r="E42" s="386"/>
      <c r="F42" s="387"/>
      <c r="G42" s="367">
        <f>SUM(G43:G67)</f>
        <v>0</v>
      </c>
      <c r="H42" s="49"/>
      <c r="I42" s="49"/>
      <c r="J42" s="49"/>
      <c r="K42" s="49"/>
      <c r="L42" s="49"/>
      <c r="M42" s="49"/>
      <c r="N42" s="49"/>
    </row>
    <row r="43" spans="1:14" s="6" customFormat="1" ht="34.5" customHeight="1">
      <c r="A43" s="320">
        <v>28</v>
      </c>
      <c r="B43" s="104">
        <v>112151351</v>
      </c>
      <c r="C43" s="104" t="s">
        <v>838</v>
      </c>
      <c r="D43" s="104" t="s">
        <v>109</v>
      </c>
      <c r="E43" s="107">
        <v>1</v>
      </c>
      <c r="F43" s="108"/>
      <c r="G43" s="47">
        <f>F43*E43</f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</row>
    <row r="44" spans="1:14" s="6" customFormat="1" ht="34.5" customHeight="1">
      <c r="A44" s="320">
        <v>29</v>
      </c>
      <c r="B44" s="104">
        <v>112151353</v>
      </c>
      <c r="C44" s="104" t="s">
        <v>839</v>
      </c>
      <c r="D44" s="104" t="s">
        <v>109</v>
      </c>
      <c r="E44" s="107">
        <v>3</v>
      </c>
      <c r="F44" s="108"/>
      <c r="G44" s="47">
        <f t="shared" ref="G44:G45" si="1">F44*E44</f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</row>
    <row r="45" spans="1:14" s="6" customFormat="1" ht="34.5" customHeight="1">
      <c r="A45" s="320">
        <v>30</v>
      </c>
      <c r="B45" s="104">
        <v>112151354</v>
      </c>
      <c r="C45" s="104" t="s">
        <v>840</v>
      </c>
      <c r="D45" s="104" t="s">
        <v>109</v>
      </c>
      <c r="E45" s="107">
        <v>1</v>
      </c>
      <c r="F45" s="108"/>
      <c r="G45" s="47">
        <f t="shared" si="1"/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</row>
    <row r="46" spans="1:14" s="6" customFormat="1" ht="34.5" customHeight="1">
      <c r="A46" s="118">
        <v>31</v>
      </c>
      <c r="B46" s="45" t="s">
        <v>110</v>
      </c>
      <c r="C46" s="45" t="s">
        <v>111</v>
      </c>
      <c r="D46" s="45" t="s">
        <v>109</v>
      </c>
      <c r="E46" s="46">
        <v>1</v>
      </c>
      <c r="F46" s="47"/>
      <c r="G46" s="47">
        <f t="shared" ref="G46:G67" si="2">F46*E46</f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</row>
    <row r="47" spans="1:14" s="6" customFormat="1" ht="34.5" customHeight="1">
      <c r="A47" s="118">
        <v>32</v>
      </c>
      <c r="B47" s="45" t="s">
        <v>112</v>
      </c>
      <c r="C47" s="45" t="s">
        <v>113</v>
      </c>
      <c r="D47" s="45" t="s">
        <v>109</v>
      </c>
      <c r="E47" s="46">
        <v>4</v>
      </c>
      <c r="F47" s="47"/>
      <c r="G47" s="47">
        <f t="shared" si="2"/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</row>
    <row r="48" spans="1:14" s="6" customFormat="1" ht="34.5" customHeight="1">
      <c r="A48" s="118">
        <v>33</v>
      </c>
      <c r="B48" s="45" t="s">
        <v>114</v>
      </c>
      <c r="C48" s="45" t="s">
        <v>115</v>
      </c>
      <c r="D48" s="45" t="s">
        <v>109</v>
      </c>
      <c r="E48" s="46">
        <v>1</v>
      </c>
      <c r="F48" s="47"/>
      <c r="G48" s="47">
        <f t="shared" si="2"/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</row>
    <row r="49" spans="1:14" s="6" customFormat="1" ht="34.5" customHeight="1">
      <c r="A49" s="118">
        <v>34</v>
      </c>
      <c r="B49" s="50" t="s">
        <v>116</v>
      </c>
      <c r="C49" s="50" t="s">
        <v>117</v>
      </c>
      <c r="D49" s="50" t="s">
        <v>109</v>
      </c>
      <c r="E49" s="51">
        <v>4</v>
      </c>
      <c r="F49" s="52"/>
      <c r="G49" s="47">
        <f t="shared" si="2"/>
        <v>0</v>
      </c>
      <c r="H49" s="47">
        <v>0</v>
      </c>
      <c r="I49" s="47"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</row>
    <row r="50" spans="1:14" s="6" customFormat="1" ht="12.75">
      <c r="A50" s="118">
        <v>35</v>
      </c>
      <c r="B50" s="50">
        <v>112251221</v>
      </c>
      <c r="C50" s="50" t="s">
        <v>227</v>
      </c>
      <c r="D50" s="50" t="s">
        <v>40</v>
      </c>
      <c r="E50" s="95">
        <f>SUM(E43:E45)</f>
        <v>5</v>
      </c>
      <c r="F50" s="52"/>
      <c r="G50" s="47">
        <f t="shared" si="2"/>
        <v>0</v>
      </c>
      <c r="H50" s="49"/>
      <c r="I50" s="49"/>
      <c r="J50" s="49"/>
      <c r="K50" s="49"/>
      <c r="L50" s="49"/>
      <c r="M50" s="49"/>
      <c r="N50" s="49"/>
    </row>
    <row r="51" spans="1:14" s="6" customFormat="1" ht="12.75">
      <c r="A51" s="118">
        <v>36</v>
      </c>
      <c r="B51" s="58" t="s">
        <v>125</v>
      </c>
      <c r="C51" s="58" t="s">
        <v>126</v>
      </c>
      <c r="D51" s="58" t="s">
        <v>45</v>
      </c>
      <c r="E51" s="59">
        <f>E50*0.5</f>
        <v>2.5</v>
      </c>
      <c r="F51" s="60"/>
      <c r="G51" s="47">
        <f t="shared" si="2"/>
        <v>0</v>
      </c>
      <c r="H51" s="49"/>
      <c r="I51" s="49"/>
      <c r="J51" s="49"/>
      <c r="K51" s="49"/>
      <c r="L51" s="49"/>
      <c r="M51" s="49"/>
      <c r="N51" s="49"/>
    </row>
    <row r="52" spans="1:14" s="6" customFormat="1" ht="34.5" customHeight="1">
      <c r="A52" s="118">
        <v>37</v>
      </c>
      <c r="B52" s="65">
        <v>174111121</v>
      </c>
      <c r="C52" s="65" t="s">
        <v>256</v>
      </c>
      <c r="D52" s="65" t="s">
        <v>40</v>
      </c>
      <c r="E52" s="66">
        <f>E50</f>
        <v>5</v>
      </c>
      <c r="F52" s="53"/>
      <c r="G52" s="47">
        <f t="shared" si="2"/>
        <v>0</v>
      </c>
      <c r="H52" s="49"/>
      <c r="I52" s="49"/>
      <c r="J52" s="49"/>
      <c r="K52" s="49"/>
      <c r="L52" s="49"/>
      <c r="M52" s="49"/>
      <c r="N52" s="49"/>
    </row>
    <row r="53" spans="1:14" s="6" customFormat="1" ht="12.75">
      <c r="A53" s="118">
        <v>38</v>
      </c>
      <c r="B53" s="45" t="s">
        <v>107</v>
      </c>
      <c r="C53" s="45" t="s">
        <v>294</v>
      </c>
      <c r="D53" s="45" t="s">
        <v>139</v>
      </c>
      <c r="E53" s="46">
        <v>1</v>
      </c>
      <c r="F53" s="47"/>
      <c r="G53" s="47">
        <f t="shared" si="2"/>
        <v>0</v>
      </c>
      <c r="H53" s="49"/>
      <c r="I53" s="49"/>
      <c r="J53" s="49"/>
      <c r="K53" s="49"/>
      <c r="L53" s="49"/>
      <c r="M53" s="49"/>
      <c r="N53" s="49"/>
    </row>
    <row r="54" spans="1:14" s="6" customFormat="1" ht="12.75">
      <c r="A54" s="118">
        <v>39</v>
      </c>
      <c r="B54" s="45" t="s">
        <v>107</v>
      </c>
      <c r="C54" s="45" t="s">
        <v>306</v>
      </c>
      <c r="D54" s="45" t="s">
        <v>139</v>
      </c>
      <c r="E54" s="46">
        <v>4</v>
      </c>
      <c r="F54" s="47"/>
      <c r="G54" s="47">
        <f t="shared" si="2"/>
        <v>0</v>
      </c>
      <c r="H54" s="49"/>
      <c r="I54" s="49"/>
      <c r="J54" s="49"/>
      <c r="K54" s="49"/>
      <c r="L54" s="49"/>
      <c r="M54" s="49"/>
      <c r="N54" s="49"/>
    </row>
    <row r="55" spans="1:14" s="6" customFormat="1" ht="12.75">
      <c r="A55" s="118">
        <v>40</v>
      </c>
      <c r="B55" s="45" t="s">
        <v>107</v>
      </c>
      <c r="C55" s="45" t="s">
        <v>295</v>
      </c>
      <c r="D55" s="45" t="s">
        <v>139</v>
      </c>
      <c r="E55" s="46">
        <v>1</v>
      </c>
      <c r="F55" s="47"/>
      <c r="G55" s="47">
        <f t="shared" si="2"/>
        <v>0</v>
      </c>
      <c r="H55" s="49"/>
      <c r="I55" s="49"/>
      <c r="J55" s="49"/>
      <c r="K55" s="49"/>
      <c r="L55" s="49"/>
      <c r="M55" s="49"/>
      <c r="N55" s="49"/>
    </row>
    <row r="56" spans="1:14" s="6" customFormat="1" ht="12.75">
      <c r="A56" s="118">
        <v>41</v>
      </c>
      <c r="B56" s="45" t="s">
        <v>298</v>
      </c>
      <c r="C56" s="45" t="s">
        <v>299</v>
      </c>
      <c r="D56" s="45" t="s">
        <v>139</v>
      </c>
      <c r="E56" s="46">
        <v>3</v>
      </c>
      <c r="F56" s="47"/>
      <c r="G56" s="47">
        <f t="shared" si="2"/>
        <v>0</v>
      </c>
      <c r="H56" s="49"/>
      <c r="I56" s="49"/>
      <c r="J56" s="49"/>
      <c r="K56" s="49"/>
      <c r="L56" s="49"/>
      <c r="M56" s="49"/>
      <c r="N56" s="49"/>
    </row>
    <row r="57" spans="1:14" s="6" customFormat="1" ht="12.75">
      <c r="A57" s="118">
        <v>42</v>
      </c>
      <c r="B57" s="45" t="s">
        <v>296</v>
      </c>
      <c r="C57" s="45" t="s">
        <v>300</v>
      </c>
      <c r="D57" s="45" t="s">
        <v>139</v>
      </c>
      <c r="E57" s="46">
        <v>8</v>
      </c>
      <c r="F57" s="47"/>
      <c r="G57" s="47">
        <f t="shared" si="2"/>
        <v>0</v>
      </c>
      <c r="H57" s="49"/>
      <c r="I57" s="49"/>
      <c r="J57" s="49"/>
      <c r="K57" s="49"/>
      <c r="L57" s="49"/>
      <c r="M57" s="49"/>
      <c r="N57" s="49"/>
    </row>
    <row r="58" spans="1:14" s="6" customFormat="1" ht="12.75">
      <c r="A58" s="118">
        <v>43</v>
      </c>
      <c r="B58" s="45" t="s">
        <v>297</v>
      </c>
      <c r="C58" s="45" t="s">
        <v>301</v>
      </c>
      <c r="D58" s="45" t="s">
        <v>139</v>
      </c>
      <c r="E58" s="46">
        <v>1</v>
      </c>
      <c r="F58" s="47"/>
      <c r="G58" s="47">
        <f t="shared" si="2"/>
        <v>0</v>
      </c>
      <c r="H58" s="49"/>
      <c r="I58" s="49"/>
      <c r="J58" s="49"/>
      <c r="K58" s="49"/>
      <c r="L58" s="49"/>
      <c r="M58" s="49"/>
      <c r="N58" s="49"/>
    </row>
    <row r="59" spans="1:14" s="6" customFormat="1" ht="12.75">
      <c r="A59" s="118">
        <v>44</v>
      </c>
      <c r="B59" s="45">
        <v>184852111</v>
      </c>
      <c r="C59" s="45" t="s">
        <v>302</v>
      </c>
      <c r="D59" s="45" t="s">
        <v>139</v>
      </c>
      <c r="E59" s="46">
        <v>2</v>
      </c>
      <c r="F59" s="47"/>
      <c r="G59" s="47">
        <f t="shared" si="2"/>
        <v>0</v>
      </c>
      <c r="H59" s="49"/>
      <c r="I59" s="49"/>
      <c r="J59" s="49"/>
      <c r="K59" s="49"/>
      <c r="L59" s="49"/>
      <c r="M59" s="49"/>
      <c r="N59" s="49"/>
    </row>
    <row r="60" spans="1:14" s="6" customFormat="1" ht="25.5">
      <c r="A60" s="118">
        <v>45</v>
      </c>
      <c r="B60" s="45">
        <v>184852112</v>
      </c>
      <c r="C60" s="45" t="s">
        <v>303</v>
      </c>
      <c r="D60" s="45" t="s">
        <v>139</v>
      </c>
      <c r="E60" s="46">
        <v>1</v>
      </c>
      <c r="F60" s="47"/>
      <c r="G60" s="47">
        <f t="shared" si="2"/>
        <v>0</v>
      </c>
      <c r="H60" s="49"/>
      <c r="I60" s="49"/>
      <c r="J60" s="49"/>
      <c r="K60" s="49"/>
      <c r="L60" s="49"/>
      <c r="M60" s="49"/>
      <c r="N60" s="49"/>
    </row>
    <row r="61" spans="1:14" s="6" customFormat="1" ht="12.75">
      <c r="A61" s="118">
        <v>46</v>
      </c>
      <c r="B61" s="45" t="s">
        <v>304</v>
      </c>
      <c r="C61" s="45" t="s">
        <v>305</v>
      </c>
      <c r="D61" s="45" t="s">
        <v>45</v>
      </c>
      <c r="E61" s="46">
        <v>4</v>
      </c>
      <c r="F61" s="47"/>
      <c r="G61" s="47">
        <f t="shared" si="2"/>
        <v>0</v>
      </c>
      <c r="H61" s="49"/>
      <c r="I61" s="49"/>
      <c r="J61" s="49"/>
      <c r="K61" s="49"/>
      <c r="L61" s="49"/>
      <c r="M61" s="49"/>
      <c r="N61" s="49"/>
    </row>
    <row r="62" spans="1:14" s="6" customFormat="1" ht="12.75">
      <c r="A62" s="118">
        <v>47</v>
      </c>
      <c r="B62" s="45" t="s">
        <v>107</v>
      </c>
      <c r="C62" s="45" t="s">
        <v>118</v>
      </c>
      <c r="D62" s="45" t="s">
        <v>56</v>
      </c>
      <c r="E62" s="46">
        <v>23</v>
      </c>
      <c r="F62" s="47"/>
      <c r="G62" s="47">
        <f t="shared" si="2"/>
        <v>0</v>
      </c>
      <c r="H62" s="49"/>
      <c r="I62" s="49"/>
      <c r="J62" s="49"/>
      <c r="K62" s="49"/>
      <c r="L62" s="49"/>
      <c r="M62" s="49"/>
      <c r="N62" s="49"/>
    </row>
    <row r="63" spans="1:14" s="6" customFormat="1" ht="25.5">
      <c r="A63" s="118">
        <v>48</v>
      </c>
      <c r="B63" s="45" t="s">
        <v>107</v>
      </c>
      <c r="C63" s="45" t="s">
        <v>307</v>
      </c>
      <c r="D63" s="45" t="s">
        <v>40</v>
      </c>
      <c r="E63" s="46">
        <v>270</v>
      </c>
      <c r="F63" s="47"/>
      <c r="G63" s="47">
        <f t="shared" si="2"/>
        <v>0</v>
      </c>
      <c r="H63" s="49"/>
      <c r="I63" s="49"/>
      <c r="J63" s="49"/>
      <c r="K63" s="49"/>
      <c r="L63" s="49"/>
      <c r="M63" s="49"/>
      <c r="N63" s="49"/>
    </row>
    <row r="64" spans="1:14" s="6" customFormat="1" ht="12.75">
      <c r="A64" s="118">
        <v>49</v>
      </c>
      <c r="B64" s="50"/>
      <c r="C64" s="50" t="s">
        <v>308</v>
      </c>
      <c r="D64" s="50" t="s">
        <v>40</v>
      </c>
      <c r="E64" s="51">
        <v>270</v>
      </c>
      <c r="F64" s="52"/>
      <c r="G64" s="47">
        <f t="shared" si="2"/>
        <v>0</v>
      </c>
      <c r="H64" s="49"/>
      <c r="I64" s="49"/>
      <c r="J64" s="49"/>
      <c r="K64" s="49"/>
      <c r="L64" s="49"/>
      <c r="M64" s="49"/>
      <c r="N64" s="49"/>
    </row>
    <row r="65" spans="1:14" s="6" customFormat="1" ht="12.75">
      <c r="A65" s="118">
        <v>50</v>
      </c>
      <c r="B65" s="65" t="s">
        <v>107</v>
      </c>
      <c r="C65" s="65" t="s">
        <v>309</v>
      </c>
      <c r="D65" s="65" t="s">
        <v>310</v>
      </c>
      <c r="E65" s="66">
        <v>10</v>
      </c>
      <c r="F65" s="53"/>
      <c r="G65" s="47">
        <f t="shared" si="2"/>
        <v>0</v>
      </c>
      <c r="H65" s="49"/>
      <c r="I65" s="49"/>
      <c r="J65" s="49"/>
      <c r="K65" s="49"/>
      <c r="L65" s="49"/>
      <c r="M65" s="49"/>
      <c r="N65" s="49"/>
    </row>
    <row r="66" spans="1:14" s="6" customFormat="1" ht="25.5">
      <c r="A66" s="118">
        <v>51</v>
      </c>
      <c r="B66" s="65"/>
      <c r="C66" s="65" t="s">
        <v>312</v>
      </c>
      <c r="D66" s="65" t="s">
        <v>311</v>
      </c>
      <c r="E66" s="66">
        <v>1</v>
      </c>
      <c r="F66" s="53"/>
      <c r="G66" s="47">
        <f t="shared" si="2"/>
        <v>0</v>
      </c>
      <c r="H66" s="49"/>
      <c r="I66" s="49"/>
      <c r="J66" s="49"/>
      <c r="K66" s="49"/>
      <c r="L66" s="49"/>
      <c r="M66" s="49"/>
      <c r="N66" s="49"/>
    </row>
    <row r="67" spans="1:14" s="6" customFormat="1" ht="25.5">
      <c r="A67" s="320"/>
      <c r="B67" s="115">
        <v>184818231</v>
      </c>
      <c r="C67" s="115" t="s">
        <v>842</v>
      </c>
      <c r="D67" s="115" t="s">
        <v>139</v>
      </c>
      <c r="E67" s="339">
        <v>17</v>
      </c>
      <c r="F67" s="182"/>
      <c r="G67" s="108">
        <f t="shared" si="2"/>
        <v>0</v>
      </c>
      <c r="H67" s="49"/>
      <c r="I67" s="49"/>
      <c r="J67" s="49"/>
      <c r="K67" s="49"/>
      <c r="L67" s="49"/>
      <c r="M67" s="49"/>
      <c r="N67" s="49"/>
    </row>
    <row r="68" spans="1:14" s="6" customFormat="1" ht="28.5" customHeight="1">
      <c r="A68" s="118">
        <v>52</v>
      </c>
      <c r="B68" s="363" t="s">
        <v>25</v>
      </c>
      <c r="C68" s="363" t="s">
        <v>57</v>
      </c>
      <c r="D68" s="363"/>
      <c r="E68" s="383"/>
      <c r="F68" s="367"/>
      <c r="G68" s="367">
        <f>SUM(G70:G112)</f>
        <v>0</v>
      </c>
      <c r="H68" s="12">
        <v>282861.07500000001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</row>
    <row r="69" spans="1:14" s="6" customFormat="1" ht="28.5" customHeight="1">
      <c r="A69" s="118">
        <v>53</v>
      </c>
      <c r="B69" s="109" t="s">
        <v>437</v>
      </c>
      <c r="C69" s="109" t="s">
        <v>97</v>
      </c>
      <c r="D69" s="109"/>
      <c r="E69" s="170"/>
      <c r="F69" s="171"/>
      <c r="G69" s="12"/>
      <c r="H69" s="12"/>
      <c r="I69" s="12"/>
      <c r="J69" s="12"/>
      <c r="K69" s="12"/>
      <c r="L69" s="12"/>
      <c r="M69" s="12"/>
      <c r="N69" s="12"/>
    </row>
    <row r="70" spans="1:14" s="6" customFormat="1" ht="28.5" customHeight="1">
      <c r="A70" s="118">
        <v>54</v>
      </c>
      <c r="B70" s="45" t="s">
        <v>60</v>
      </c>
      <c r="C70" s="45" t="s">
        <v>61</v>
      </c>
      <c r="D70" s="45" t="s">
        <v>40</v>
      </c>
      <c r="E70" s="46">
        <v>43</v>
      </c>
      <c r="F70" s="47"/>
      <c r="G70" s="47">
        <f>F70*E70</f>
        <v>0</v>
      </c>
      <c r="H70" s="12"/>
      <c r="I70" s="12"/>
      <c r="J70" s="12"/>
      <c r="K70" s="12"/>
      <c r="L70" s="12"/>
      <c r="M70" s="12"/>
      <c r="N70" s="12"/>
    </row>
    <row r="71" spans="1:14" s="6" customFormat="1" ht="28.5" customHeight="1">
      <c r="A71" s="118">
        <v>55</v>
      </c>
      <c r="B71" s="54" t="s">
        <v>62</v>
      </c>
      <c r="C71" s="54" t="s">
        <v>63</v>
      </c>
      <c r="D71" s="54" t="s">
        <v>56</v>
      </c>
      <c r="E71" s="55">
        <v>2.58</v>
      </c>
      <c r="F71" s="56"/>
      <c r="G71" s="47">
        <f t="shared" ref="G71:G97" si="3">F71*E71</f>
        <v>0</v>
      </c>
      <c r="H71" s="12"/>
      <c r="I71" s="12"/>
      <c r="J71" s="12"/>
      <c r="K71" s="12"/>
      <c r="L71" s="12"/>
      <c r="M71" s="12"/>
      <c r="N71" s="12"/>
    </row>
    <row r="72" spans="1:14" s="6" customFormat="1" ht="28.5" customHeight="1">
      <c r="A72" s="118">
        <v>56</v>
      </c>
      <c r="B72" s="45" t="s">
        <v>66</v>
      </c>
      <c r="C72" s="45" t="s">
        <v>67</v>
      </c>
      <c r="D72" s="45" t="s">
        <v>40</v>
      </c>
      <c r="E72" s="46">
        <v>43</v>
      </c>
      <c r="F72" s="47"/>
      <c r="G72" s="47">
        <f t="shared" si="3"/>
        <v>0</v>
      </c>
      <c r="H72" s="12"/>
      <c r="I72" s="12"/>
      <c r="J72" s="12"/>
      <c r="K72" s="12"/>
      <c r="L72" s="12"/>
      <c r="M72" s="12"/>
      <c r="N72" s="12"/>
    </row>
    <row r="73" spans="1:14" s="6" customFormat="1" ht="28.5" customHeight="1">
      <c r="A73" s="118">
        <v>57</v>
      </c>
      <c r="B73" s="54" t="s">
        <v>68</v>
      </c>
      <c r="C73" s="54" t="s">
        <v>69</v>
      </c>
      <c r="D73" s="54" t="s">
        <v>56</v>
      </c>
      <c r="E73" s="55">
        <v>4.3</v>
      </c>
      <c r="F73" s="56"/>
      <c r="G73" s="47">
        <f t="shared" si="3"/>
        <v>0</v>
      </c>
      <c r="H73" s="12"/>
      <c r="I73" s="12"/>
      <c r="J73" s="12"/>
      <c r="K73" s="12"/>
      <c r="L73" s="12"/>
      <c r="M73" s="12"/>
      <c r="N73" s="12"/>
    </row>
    <row r="74" spans="1:14" s="6" customFormat="1" ht="28.5" customHeight="1">
      <c r="A74" s="118">
        <v>58</v>
      </c>
      <c r="B74" s="45" t="s">
        <v>72</v>
      </c>
      <c r="C74" s="45" t="s">
        <v>73</v>
      </c>
      <c r="D74" s="45" t="s">
        <v>40</v>
      </c>
      <c r="E74" s="46">
        <v>43</v>
      </c>
      <c r="F74" s="47"/>
      <c r="G74" s="47">
        <f t="shared" si="3"/>
        <v>0</v>
      </c>
      <c r="H74" s="12"/>
      <c r="I74" s="12"/>
      <c r="J74" s="12"/>
      <c r="K74" s="12"/>
      <c r="L74" s="12"/>
      <c r="M74" s="12"/>
      <c r="N74" s="12"/>
    </row>
    <row r="75" spans="1:14" s="6" customFormat="1" ht="28.5" customHeight="1">
      <c r="A75" s="118">
        <v>59</v>
      </c>
      <c r="B75" s="54" t="s">
        <v>74</v>
      </c>
      <c r="C75" s="54" t="s">
        <v>229</v>
      </c>
      <c r="D75" s="54" t="s">
        <v>56</v>
      </c>
      <c r="E75" s="55">
        <v>8.6</v>
      </c>
      <c r="F75" s="56"/>
      <c r="G75" s="47">
        <f t="shared" si="3"/>
        <v>0</v>
      </c>
      <c r="H75" s="12"/>
      <c r="I75" s="12"/>
      <c r="J75" s="12"/>
      <c r="K75" s="12"/>
      <c r="L75" s="12"/>
      <c r="M75" s="12"/>
      <c r="N75" s="12"/>
    </row>
    <row r="76" spans="1:14" s="6" customFormat="1" ht="38.25">
      <c r="A76" s="118">
        <v>60</v>
      </c>
      <c r="B76" s="45" t="s">
        <v>80</v>
      </c>
      <c r="C76" s="45" t="s">
        <v>81</v>
      </c>
      <c r="D76" s="45" t="s">
        <v>40</v>
      </c>
      <c r="E76" s="46">
        <v>43</v>
      </c>
      <c r="F76" s="47"/>
      <c r="G76" s="47">
        <f t="shared" si="3"/>
        <v>0</v>
      </c>
      <c r="H76" s="12"/>
      <c r="I76" s="12"/>
      <c r="J76" s="12"/>
      <c r="K76" s="12"/>
      <c r="L76" s="12"/>
      <c r="M76" s="12"/>
      <c r="N76" s="12"/>
    </row>
    <row r="77" spans="1:14" s="6" customFormat="1" ht="28.5" customHeight="1">
      <c r="A77" s="118">
        <v>61</v>
      </c>
      <c r="B77" s="322" t="s">
        <v>79</v>
      </c>
      <c r="C77" s="54" t="s">
        <v>853</v>
      </c>
      <c r="D77" s="54" t="s">
        <v>40</v>
      </c>
      <c r="E77" s="55">
        <f>43*1.02</f>
        <v>43.86</v>
      </c>
      <c r="F77" s="56"/>
      <c r="G77" s="47">
        <f t="shared" si="3"/>
        <v>0</v>
      </c>
      <c r="H77" s="12"/>
      <c r="I77" s="12"/>
      <c r="J77" s="12"/>
      <c r="K77" s="12"/>
      <c r="L77" s="12"/>
      <c r="M77" s="12"/>
      <c r="N77" s="12"/>
    </row>
    <row r="78" spans="1:14" s="6" customFormat="1" ht="28.5" customHeight="1">
      <c r="A78" s="118">
        <v>62</v>
      </c>
      <c r="B78" s="54" t="s">
        <v>62</v>
      </c>
      <c r="C78" s="54" t="s">
        <v>285</v>
      </c>
      <c r="D78" s="54" t="s">
        <v>45</v>
      </c>
      <c r="E78" s="55">
        <f>E77*0.01</f>
        <v>0.43859999999999999</v>
      </c>
      <c r="F78" s="56"/>
      <c r="G78" s="47">
        <f t="shared" si="3"/>
        <v>0</v>
      </c>
      <c r="H78" s="12"/>
      <c r="I78" s="12"/>
      <c r="J78" s="12"/>
      <c r="K78" s="12"/>
      <c r="L78" s="12"/>
      <c r="M78" s="12"/>
      <c r="N78" s="12"/>
    </row>
    <row r="79" spans="1:14" s="6" customFormat="1" ht="28.5" customHeight="1">
      <c r="A79" s="118">
        <v>63</v>
      </c>
      <c r="B79" s="109" t="s">
        <v>439</v>
      </c>
      <c r="C79" s="11" t="s">
        <v>98</v>
      </c>
      <c r="D79" s="54"/>
      <c r="E79" s="55"/>
      <c r="F79" s="56"/>
      <c r="G79" s="47"/>
      <c r="H79" s="12"/>
      <c r="I79" s="12"/>
      <c r="J79" s="12"/>
      <c r="K79" s="12"/>
      <c r="L79" s="12"/>
      <c r="M79" s="12"/>
      <c r="N79" s="12"/>
    </row>
    <row r="80" spans="1:14" s="6" customFormat="1" ht="28.5" customHeight="1">
      <c r="A80" s="118">
        <v>64</v>
      </c>
      <c r="B80" s="45" t="s">
        <v>66</v>
      </c>
      <c r="C80" s="45" t="s">
        <v>67</v>
      </c>
      <c r="D80" s="45" t="s">
        <v>40</v>
      </c>
      <c r="E80" s="46">
        <v>135</v>
      </c>
      <c r="F80" s="47"/>
      <c r="G80" s="47">
        <f t="shared" si="3"/>
        <v>0</v>
      </c>
      <c r="H80" s="12"/>
      <c r="I80" s="12"/>
      <c r="J80" s="12"/>
      <c r="K80" s="12"/>
      <c r="L80" s="12"/>
      <c r="M80" s="12"/>
      <c r="N80" s="12"/>
    </row>
    <row r="81" spans="1:14" s="6" customFormat="1" ht="28.5" customHeight="1">
      <c r="A81" s="118">
        <v>65</v>
      </c>
      <c r="B81" s="54" t="s">
        <v>70</v>
      </c>
      <c r="C81" s="54" t="s">
        <v>71</v>
      </c>
      <c r="D81" s="54" t="s">
        <v>56</v>
      </c>
      <c r="E81" s="55">
        <v>13.5</v>
      </c>
      <c r="F81" s="56"/>
      <c r="G81" s="47">
        <f t="shared" si="3"/>
        <v>0</v>
      </c>
      <c r="H81" s="12"/>
      <c r="I81" s="12"/>
      <c r="J81" s="12"/>
      <c r="K81" s="12"/>
      <c r="L81" s="12"/>
      <c r="M81" s="12"/>
      <c r="N81" s="12"/>
    </row>
    <row r="82" spans="1:14" s="6" customFormat="1" ht="28.5" customHeight="1">
      <c r="A82" s="118">
        <v>66</v>
      </c>
      <c r="B82" s="45" t="s">
        <v>72</v>
      </c>
      <c r="C82" s="45" t="s">
        <v>73</v>
      </c>
      <c r="D82" s="45" t="s">
        <v>40</v>
      </c>
      <c r="E82" s="46">
        <v>135</v>
      </c>
      <c r="F82" s="47"/>
      <c r="G82" s="47">
        <f t="shared" si="3"/>
        <v>0</v>
      </c>
      <c r="H82" s="12"/>
      <c r="I82" s="12"/>
      <c r="J82" s="12"/>
      <c r="K82" s="12"/>
      <c r="L82" s="12"/>
      <c r="M82" s="12"/>
      <c r="N82" s="12"/>
    </row>
    <row r="83" spans="1:14" s="6" customFormat="1" ht="28.5" customHeight="1">
      <c r="A83" s="118">
        <v>67</v>
      </c>
      <c r="B83" s="54" t="s">
        <v>59</v>
      </c>
      <c r="C83" s="54" t="s">
        <v>103</v>
      </c>
      <c r="D83" s="54" t="s">
        <v>56</v>
      </c>
      <c r="E83" s="55">
        <v>27</v>
      </c>
      <c r="F83" s="56"/>
      <c r="G83" s="47">
        <f t="shared" si="3"/>
        <v>0</v>
      </c>
      <c r="H83" s="12"/>
      <c r="I83" s="12"/>
      <c r="J83" s="12"/>
      <c r="K83" s="12"/>
      <c r="L83" s="12"/>
      <c r="M83" s="12"/>
      <c r="N83" s="12"/>
    </row>
    <row r="84" spans="1:14" s="6" customFormat="1" ht="28.5" customHeight="1">
      <c r="A84" s="118">
        <v>68</v>
      </c>
      <c r="B84" s="109" t="s">
        <v>438</v>
      </c>
      <c r="C84" s="11" t="s">
        <v>99</v>
      </c>
      <c r="D84" s="54"/>
      <c r="E84" s="55"/>
      <c r="F84" s="56"/>
      <c r="G84" s="47"/>
      <c r="H84" s="12"/>
      <c r="I84" s="12"/>
      <c r="J84" s="12"/>
      <c r="K84" s="12"/>
      <c r="L84" s="12"/>
      <c r="M84" s="12"/>
      <c r="N84" s="12"/>
    </row>
    <row r="85" spans="1:14" s="6" customFormat="1" ht="28.5" customHeight="1">
      <c r="A85" s="118">
        <v>69</v>
      </c>
      <c r="B85" s="45" t="s">
        <v>66</v>
      </c>
      <c r="C85" s="45" t="s">
        <v>67</v>
      </c>
      <c r="D85" s="45" t="s">
        <v>40</v>
      </c>
      <c r="E85" s="46">
        <v>333</v>
      </c>
      <c r="F85" s="47"/>
      <c r="G85" s="47">
        <f t="shared" si="3"/>
        <v>0</v>
      </c>
      <c r="H85" s="12"/>
      <c r="I85" s="12"/>
      <c r="J85" s="12"/>
      <c r="K85" s="12"/>
      <c r="L85" s="12"/>
      <c r="M85" s="12"/>
      <c r="N85" s="12"/>
    </row>
    <row r="86" spans="1:14" s="6" customFormat="1" ht="28.5" customHeight="1">
      <c r="A86" s="118">
        <v>70</v>
      </c>
      <c r="B86" s="54" t="s">
        <v>70</v>
      </c>
      <c r="C86" s="54" t="s">
        <v>71</v>
      </c>
      <c r="D86" s="54" t="s">
        <v>56</v>
      </c>
      <c r="E86" s="55">
        <v>33.299999999999997</v>
      </c>
      <c r="F86" s="56"/>
      <c r="G86" s="47">
        <f t="shared" si="3"/>
        <v>0</v>
      </c>
      <c r="H86" s="12"/>
      <c r="I86" s="12"/>
      <c r="J86" s="12"/>
      <c r="K86" s="12"/>
      <c r="L86" s="12"/>
      <c r="M86" s="12"/>
      <c r="N86" s="12"/>
    </row>
    <row r="87" spans="1:14" s="6" customFormat="1" ht="33" customHeight="1">
      <c r="A87" s="118">
        <v>71</v>
      </c>
      <c r="B87" s="45">
        <v>564811112</v>
      </c>
      <c r="C87" s="45" t="s">
        <v>100</v>
      </c>
      <c r="D87" s="45" t="s">
        <v>40</v>
      </c>
      <c r="E87" s="46">
        <v>333</v>
      </c>
      <c r="F87" s="47"/>
      <c r="G87" s="47">
        <f t="shared" si="3"/>
        <v>0</v>
      </c>
      <c r="H87" s="12"/>
      <c r="I87" s="12"/>
      <c r="J87" s="12"/>
      <c r="K87" s="12"/>
      <c r="L87" s="12"/>
      <c r="M87" s="12"/>
      <c r="N87" s="12"/>
    </row>
    <row r="88" spans="1:14" s="6" customFormat="1" ht="28.5" customHeight="1">
      <c r="A88" s="118">
        <v>72</v>
      </c>
      <c r="B88" s="54" t="s">
        <v>58</v>
      </c>
      <c r="C88" s="54" t="s">
        <v>286</v>
      </c>
      <c r="D88" s="54" t="s">
        <v>56</v>
      </c>
      <c r="E88" s="55">
        <v>39.96</v>
      </c>
      <c r="F88" s="56"/>
      <c r="G88" s="47">
        <f t="shared" si="3"/>
        <v>0</v>
      </c>
      <c r="H88" s="12"/>
      <c r="I88" s="12"/>
      <c r="J88" s="12"/>
      <c r="K88" s="12"/>
      <c r="L88" s="12"/>
      <c r="M88" s="12"/>
      <c r="N88" s="12"/>
    </row>
    <row r="89" spans="1:14" s="6" customFormat="1" ht="34.5" customHeight="1">
      <c r="A89" s="118">
        <v>73</v>
      </c>
      <c r="B89" s="45">
        <v>564861111</v>
      </c>
      <c r="C89" s="45" t="s">
        <v>102</v>
      </c>
      <c r="D89" s="45" t="s">
        <v>40</v>
      </c>
      <c r="E89" s="46">
        <v>333</v>
      </c>
      <c r="F89" s="47"/>
      <c r="G89" s="47">
        <f t="shared" si="3"/>
        <v>0</v>
      </c>
      <c r="H89" s="47">
        <v>62666.25</v>
      </c>
      <c r="I89" s="47"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</row>
    <row r="90" spans="1:14" s="6" customFormat="1" ht="13.5" customHeight="1">
      <c r="A90" s="118">
        <v>74</v>
      </c>
      <c r="B90" s="54" t="s">
        <v>59</v>
      </c>
      <c r="C90" s="54" t="s">
        <v>287</v>
      </c>
      <c r="D90" s="54" t="s">
        <v>56</v>
      </c>
      <c r="E90" s="55">
        <v>133.19999999999999</v>
      </c>
      <c r="F90" s="56"/>
      <c r="G90" s="47">
        <f t="shared" si="3"/>
        <v>0</v>
      </c>
      <c r="H90" s="56">
        <v>51300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</row>
    <row r="91" spans="1:14" s="6" customFormat="1" ht="24" customHeight="1">
      <c r="A91" s="118">
        <v>75</v>
      </c>
      <c r="B91" s="109" t="s">
        <v>440</v>
      </c>
      <c r="C91" s="11" t="s">
        <v>101</v>
      </c>
      <c r="D91" s="57"/>
      <c r="E91" s="57"/>
      <c r="F91" s="57"/>
      <c r="G91" s="47"/>
      <c r="H91" s="47">
        <v>662.55</v>
      </c>
      <c r="I91" s="47"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</row>
    <row r="92" spans="1:14" s="6" customFormat="1" ht="24" customHeight="1">
      <c r="A92" s="118">
        <v>76</v>
      </c>
      <c r="B92" s="45" t="s">
        <v>64</v>
      </c>
      <c r="C92" s="45" t="s">
        <v>65</v>
      </c>
      <c r="D92" s="45" t="s">
        <v>40</v>
      </c>
      <c r="E92" s="46">
        <v>80</v>
      </c>
      <c r="F92" s="47"/>
      <c r="G92" s="47">
        <f t="shared" si="3"/>
        <v>0</v>
      </c>
      <c r="H92" s="47">
        <v>1960.8</v>
      </c>
      <c r="I92" s="47"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</row>
    <row r="93" spans="1:14" s="6" customFormat="1" ht="13.5" customHeight="1">
      <c r="A93" s="118">
        <v>77</v>
      </c>
      <c r="B93" s="54" t="s">
        <v>62</v>
      </c>
      <c r="C93" s="54" t="s">
        <v>63</v>
      </c>
      <c r="D93" s="54" t="s">
        <v>56</v>
      </c>
      <c r="E93" s="55">
        <v>6.4</v>
      </c>
      <c r="F93" s="56"/>
      <c r="G93" s="47">
        <f t="shared" si="3"/>
        <v>0</v>
      </c>
      <c r="H93" s="56">
        <v>3340.8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</row>
    <row r="94" spans="1:14" s="6" customFormat="1" ht="24" customHeight="1">
      <c r="A94" s="118">
        <v>78</v>
      </c>
      <c r="B94" s="45" t="s">
        <v>72</v>
      </c>
      <c r="C94" s="45" t="s">
        <v>73</v>
      </c>
      <c r="D94" s="45" t="s">
        <v>40</v>
      </c>
      <c r="E94" s="46">
        <v>80</v>
      </c>
      <c r="F94" s="47"/>
      <c r="G94" s="47">
        <f t="shared" si="3"/>
        <v>0</v>
      </c>
      <c r="H94" s="47">
        <v>1052.8</v>
      </c>
      <c r="I94" s="47"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</row>
    <row r="95" spans="1:14" s="6" customFormat="1" ht="13.5" customHeight="1">
      <c r="A95" s="118">
        <v>79</v>
      </c>
      <c r="B95" s="54" t="s">
        <v>75</v>
      </c>
      <c r="C95" s="54" t="s">
        <v>76</v>
      </c>
      <c r="D95" s="54" t="s">
        <v>56</v>
      </c>
      <c r="E95" s="55">
        <v>16</v>
      </c>
      <c r="F95" s="56"/>
      <c r="G95" s="47">
        <f t="shared" si="3"/>
        <v>0</v>
      </c>
      <c r="H95" s="56">
        <v>1652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</row>
    <row r="96" spans="1:14" s="6" customFormat="1" ht="38.25">
      <c r="A96" s="118">
        <v>80</v>
      </c>
      <c r="B96" s="45" t="s">
        <v>77</v>
      </c>
      <c r="C96" s="45" t="s">
        <v>78</v>
      </c>
      <c r="D96" s="45" t="s">
        <v>40</v>
      </c>
      <c r="E96" s="46">
        <v>80</v>
      </c>
      <c r="F96" s="47"/>
      <c r="G96" s="47">
        <f t="shared" si="3"/>
        <v>0</v>
      </c>
      <c r="H96" s="47">
        <v>3467.2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</row>
    <row r="97" spans="1:15" s="6" customFormat="1" ht="25.5">
      <c r="A97" s="320">
        <v>81</v>
      </c>
      <c r="B97" s="54" t="s">
        <v>79</v>
      </c>
      <c r="C97" s="58" t="s">
        <v>857</v>
      </c>
      <c r="D97" s="58" t="s">
        <v>40</v>
      </c>
      <c r="E97" s="59">
        <f>80*1.02</f>
        <v>81.599999999999994</v>
      </c>
      <c r="F97" s="60"/>
      <c r="G97" s="52">
        <f t="shared" si="3"/>
        <v>0</v>
      </c>
      <c r="H97" s="56">
        <v>36240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</row>
    <row r="98" spans="1:15" s="6" customFormat="1" ht="26.45" customHeight="1">
      <c r="A98" s="118">
        <v>82</v>
      </c>
      <c r="B98" s="109" t="s">
        <v>441</v>
      </c>
      <c r="C98" s="185" t="s">
        <v>430</v>
      </c>
      <c r="D98" s="186"/>
      <c r="E98" s="187"/>
      <c r="F98" s="188"/>
      <c r="G98" s="189"/>
      <c r="H98" s="64"/>
      <c r="I98" s="64"/>
      <c r="J98" s="64"/>
      <c r="K98" s="64"/>
      <c r="L98" s="64"/>
      <c r="M98" s="64"/>
      <c r="N98" s="64"/>
    </row>
    <row r="99" spans="1:15" s="6" customFormat="1" ht="13.5" customHeight="1">
      <c r="A99" s="118">
        <v>83</v>
      </c>
      <c r="B99" s="104" t="s">
        <v>107</v>
      </c>
      <c r="C99" s="183" t="s">
        <v>435</v>
      </c>
      <c r="D99" s="115" t="s">
        <v>45</v>
      </c>
      <c r="E99" s="107">
        <f>4.5*0.08</f>
        <v>0.36</v>
      </c>
      <c r="F99" s="108"/>
      <c r="G99" s="108">
        <f t="shared" ref="G99:G100" si="4">F99*E99</f>
        <v>0</v>
      </c>
      <c r="H99" s="64"/>
      <c r="I99" s="64"/>
      <c r="J99" s="64"/>
      <c r="K99" s="64"/>
      <c r="L99" s="64"/>
      <c r="M99" s="64"/>
      <c r="N99" s="64"/>
    </row>
    <row r="100" spans="1:15" s="6" customFormat="1" ht="13.5" customHeight="1">
      <c r="A100" s="118">
        <v>84</v>
      </c>
      <c r="B100" s="104"/>
      <c r="C100" s="111" t="s">
        <v>436</v>
      </c>
      <c r="D100" s="190" t="s">
        <v>45</v>
      </c>
      <c r="E100" s="107">
        <f>E99</f>
        <v>0.36</v>
      </c>
      <c r="F100" s="196"/>
      <c r="G100" s="108">
        <f t="shared" si="4"/>
        <v>0</v>
      </c>
      <c r="H100" s="64"/>
      <c r="I100" s="64"/>
      <c r="J100" s="64"/>
      <c r="K100" s="64"/>
      <c r="L100" s="64"/>
      <c r="M100" s="64"/>
      <c r="N100" s="64"/>
    </row>
    <row r="101" spans="1:15" s="6" customFormat="1" ht="13.5" customHeight="1">
      <c r="A101" s="118">
        <v>85</v>
      </c>
      <c r="B101" s="104" t="s">
        <v>66</v>
      </c>
      <c r="C101" s="104" t="s">
        <v>67</v>
      </c>
      <c r="D101" s="104" t="s">
        <v>40</v>
      </c>
      <c r="E101" s="107">
        <v>4.5</v>
      </c>
      <c r="F101" s="108"/>
      <c r="G101" s="108">
        <f t="shared" ref="G101" si="5">F101*E101</f>
        <v>0</v>
      </c>
      <c r="H101" s="64"/>
      <c r="I101" s="64"/>
      <c r="J101" s="64"/>
      <c r="K101" s="64"/>
      <c r="L101" s="64"/>
      <c r="M101" s="64"/>
      <c r="N101" s="64"/>
    </row>
    <row r="102" spans="1:15" s="6" customFormat="1" ht="13.5" customHeight="1">
      <c r="A102" s="118">
        <v>86</v>
      </c>
      <c r="B102" s="111" t="s">
        <v>62</v>
      </c>
      <c r="C102" s="111" t="s">
        <v>63</v>
      </c>
      <c r="D102" s="190" t="s">
        <v>56</v>
      </c>
      <c r="E102" s="191">
        <f>E101*0.05/1.85</f>
        <v>0.12162162162162161</v>
      </c>
      <c r="F102" s="192"/>
      <c r="G102" s="181">
        <f t="shared" ref="G102:G104" si="6">F102*E102</f>
        <v>0</v>
      </c>
      <c r="H102" s="64"/>
      <c r="I102" s="64"/>
      <c r="J102" s="64"/>
      <c r="K102" s="64"/>
      <c r="L102" s="64"/>
      <c r="M102" s="64"/>
      <c r="N102" s="64"/>
    </row>
    <row r="103" spans="1:15" s="6" customFormat="1" ht="13.5" customHeight="1">
      <c r="A103" s="118">
        <v>87</v>
      </c>
      <c r="B103" s="104" t="s">
        <v>107</v>
      </c>
      <c r="C103" s="183" t="s">
        <v>432</v>
      </c>
      <c r="D103" s="115" t="s">
        <v>40</v>
      </c>
      <c r="E103" s="107">
        <v>4.5</v>
      </c>
      <c r="F103" s="108"/>
      <c r="G103" s="181">
        <f t="shared" si="6"/>
        <v>0</v>
      </c>
      <c r="H103" s="64"/>
      <c r="I103" s="64"/>
      <c r="J103" s="64"/>
      <c r="K103" s="64"/>
      <c r="L103" s="64"/>
      <c r="M103" s="64"/>
      <c r="N103" s="64"/>
    </row>
    <row r="104" spans="1:15" s="6" customFormat="1" ht="25.5">
      <c r="A104" s="320">
        <v>88</v>
      </c>
      <c r="B104" s="111" t="s">
        <v>431</v>
      </c>
      <c r="C104" s="111" t="s">
        <v>858</v>
      </c>
      <c r="D104" s="190" t="s">
        <v>40</v>
      </c>
      <c r="E104" s="391">
        <f>4.5*1.05</f>
        <v>4.7250000000000005</v>
      </c>
      <c r="F104" s="192"/>
      <c r="G104" s="181">
        <f t="shared" si="6"/>
        <v>0</v>
      </c>
      <c r="H104" s="64"/>
      <c r="I104" s="64"/>
      <c r="J104" s="64"/>
      <c r="K104" s="64"/>
      <c r="L104" s="64"/>
      <c r="M104" s="64"/>
      <c r="N104" s="64"/>
    </row>
    <row r="105" spans="1:15" s="6" customFormat="1" ht="26.45" customHeight="1">
      <c r="A105" s="118">
        <v>89</v>
      </c>
      <c r="B105" s="109" t="s">
        <v>442</v>
      </c>
      <c r="C105" s="185" t="s">
        <v>433</v>
      </c>
      <c r="D105" s="186"/>
      <c r="E105" s="187"/>
      <c r="F105" s="188"/>
      <c r="G105" s="181"/>
      <c r="H105" s="64"/>
      <c r="I105" s="64"/>
      <c r="J105" s="64"/>
      <c r="K105" s="64"/>
      <c r="L105" s="64"/>
      <c r="M105" s="64"/>
      <c r="N105" s="64"/>
    </row>
    <row r="106" spans="1:15" s="6" customFormat="1" ht="12.6" customHeight="1">
      <c r="A106" s="118">
        <v>90</v>
      </c>
      <c r="B106" s="104" t="s">
        <v>66</v>
      </c>
      <c r="C106" s="104" t="s">
        <v>67</v>
      </c>
      <c r="D106" s="104" t="s">
        <v>40</v>
      </c>
      <c r="E106" s="107">
        <v>3.5</v>
      </c>
      <c r="F106" s="108"/>
      <c r="G106" s="108">
        <f t="shared" ref="G106:G109" si="7">F106*E106</f>
        <v>0</v>
      </c>
      <c r="H106" s="64"/>
      <c r="I106" s="64"/>
      <c r="J106" s="64"/>
      <c r="K106" s="64"/>
      <c r="L106" s="64"/>
      <c r="M106" s="64"/>
      <c r="N106" s="64"/>
    </row>
    <row r="107" spans="1:15" s="6" customFormat="1" ht="12.6" customHeight="1">
      <c r="A107" s="118">
        <v>91</v>
      </c>
      <c r="B107" s="111" t="s">
        <v>62</v>
      </c>
      <c r="C107" s="193" t="s">
        <v>63</v>
      </c>
      <c r="D107" s="113" t="s">
        <v>56</v>
      </c>
      <c r="E107" s="194">
        <f>3.5*0.05/1.85</f>
        <v>9.45945945945946E-2</v>
      </c>
      <c r="F107" s="192"/>
      <c r="G107" s="108">
        <f t="shared" si="7"/>
        <v>0</v>
      </c>
      <c r="H107" s="64"/>
      <c r="I107" s="64"/>
      <c r="J107" s="64"/>
      <c r="K107" s="64"/>
      <c r="L107" s="64"/>
      <c r="M107" s="64"/>
      <c r="N107" s="64"/>
    </row>
    <row r="108" spans="1:15" s="6" customFormat="1" ht="12.6" customHeight="1">
      <c r="A108" s="118">
        <v>92</v>
      </c>
      <c r="B108" s="104" t="s">
        <v>107</v>
      </c>
      <c r="C108" s="195" t="s">
        <v>432</v>
      </c>
      <c r="D108" s="115" t="s">
        <v>40</v>
      </c>
      <c r="E108" s="194">
        <v>3.5</v>
      </c>
      <c r="F108" s="108"/>
      <c r="G108" s="108">
        <f t="shared" si="7"/>
        <v>0</v>
      </c>
      <c r="H108" s="64"/>
      <c r="I108" s="64"/>
      <c r="J108" s="64"/>
      <c r="K108" s="64"/>
      <c r="L108" s="64"/>
      <c r="M108" s="64"/>
      <c r="N108" s="64"/>
    </row>
    <row r="109" spans="1:15" s="6" customFormat="1" ht="25.5">
      <c r="A109" s="118">
        <v>93</v>
      </c>
      <c r="B109" s="326" t="s">
        <v>434</v>
      </c>
      <c r="C109" s="193" t="s">
        <v>859</v>
      </c>
      <c r="D109" s="113" t="s">
        <v>40</v>
      </c>
      <c r="E109" s="194">
        <f>3.5*1.05</f>
        <v>3.6750000000000003</v>
      </c>
      <c r="F109" s="196"/>
      <c r="G109" s="108">
        <f t="shared" si="7"/>
        <v>0</v>
      </c>
      <c r="H109" s="64"/>
      <c r="I109" s="64"/>
      <c r="J109" s="64"/>
      <c r="K109" s="64"/>
      <c r="L109" s="64"/>
      <c r="M109" s="64"/>
      <c r="N109" s="64"/>
    </row>
    <row r="110" spans="1:15" s="6" customFormat="1" ht="26.45" customHeight="1">
      <c r="A110" s="118">
        <v>94</v>
      </c>
      <c r="B110" s="109" t="s">
        <v>453</v>
      </c>
      <c r="C110" s="14" t="s">
        <v>104</v>
      </c>
      <c r="D110" s="61"/>
      <c r="E110" s="62"/>
      <c r="F110" s="63"/>
      <c r="G110" s="53"/>
      <c r="H110" s="64"/>
      <c r="I110" s="64"/>
      <c r="J110" s="64"/>
      <c r="K110" s="64"/>
      <c r="L110" s="64"/>
      <c r="M110" s="64"/>
      <c r="N110" s="64"/>
    </row>
    <row r="111" spans="1:15" s="13" customFormat="1" ht="13.5" customHeight="1">
      <c r="A111" s="118">
        <v>95</v>
      </c>
      <c r="B111" s="65" t="s">
        <v>107</v>
      </c>
      <c r="C111" s="65" t="s">
        <v>105</v>
      </c>
      <c r="D111" s="65" t="s">
        <v>106</v>
      </c>
      <c r="E111" s="66">
        <v>255</v>
      </c>
      <c r="F111" s="53"/>
      <c r="G111" s="53">
        <f>F111*E111</f>
        <v>0</v>
      </c>
      <c r="H111" s="49"/>
      <c r="I111" s="49"/>
      <c r="J111" s="49"/>
      <c r="K111" s="49"/>
      <c r="L111" s="49"/>
      <c r="M111" s="49"/>
      <c r="N111" s="49"/>
    </row>
    <row r="112" spans="1:15" s="6" customFormat="1" ht="25.5">
      <c r="A112" s="320">
        <v>96</v>
      </c>
      <c r="B112" s="61" t="s">
        <v>108</v>
      </c>
      <c r="C112" s="61" t="s">
        <v>860</v>
      </c>
      <c r="D112" s="61" t="s">
        <v>106</v>
      </c>
      <c r="E112" s="62">
        <f>255*1.05</f>
        <v>267.75</v>
      </c>
      <c r="F112" s="197"/>
      <c r="G112" s="53">
        <f>F112*E112</f>
        <v>0</v>
      </c>
      <c r="H112" s="64"/>
      <c r="I112" s="64"/>
      <c r="J112" s="64"/>
      <c r="K112" s="64"/>
      <c r="L112" s="64"/>
      <c r="M112" s="64"/>
      <c r="N112" s="64"/>
      <c r="O112" s="172"/>
    </row>
    <row r="113" spans="1:20" s="6" customFormat="1" ht="28.5" customHeight="1">
      <c r="A113" s="118">
        <v>97</v>
      </c>
      <c r="B113" s="363" t="s">
        <v>82</v>
      </c>
      <c r="C113" s="363" t="s">
        <v>83</v>
      </c>
      <c r="D113" s="363"/>
      <c r="E113" s="383"/>
      <c r="F113" s="367"/>
      <c r="G113" s="367">
        <f>SUM(G114:G118)</f>
        <v>0</v>
      </c>
      <c r="H113" s="12">
        <v>50188.35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</row>
    <row r="114" spans="1:20" s="6" customFormat="1" ht="34.5" customHeight="1">
      <c r="A114" s="320">
        <v>98</v>
      </c>
      <c r="B114" s="104">
        <v>997221551</v>
      </c>
      <c r="C114" s="104" t="s">
        <v>85</v>
      </c>
      <c r="D114" s="104" t="s">
        <v>56</v>
      </c>
      <c r="E114" s="107">
        <f>189.39+15</f>
        <v>204.39</v>
      </c>
      <c r="F114" s="108"/>
      <c r="G114" s="108">
        <f>F114*E114</f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</row>
    <row r="115" spans="1:20" s="6" customFormat="1" ht="34.5" customHeight="1">
      <c r="A115" s="320">
        <v>99</v>
      </c>
      <c r="B115" s="104" t="s">
        <v>86</v>
      </c>
      <c r="C115" s="104" t="s">
        <v>87</v>
      </c>
      <c r="D115" s="104" t="s">
        <v>56</v>
      </c>
      <c r="E115" s="107">
        <f>E114</f>
        <v>204.39</v>
      </c>
      <c r="F115" s="108"/>
      <c r="G115" s="108">
        <f>F115*E115</f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</row>
    <row r="116" spans="1:20" s="6" customFormat="1" ht="34.5" customHeight="1">
      <c r="A116" s="320"/>
      <c r="B116" s="104" t="s">
        <v>107</v>
      </c>
      <c r="C116" s="104" t="s">
        <v>843</v>
      </c>
      <c r="D116" s="104" t="s">
        <v>311</v>
      </c>
      <c r="E116" s="107">
        <v>1</v>
      </c>
      <c r="F116" s="108"/>
      <c r="G116" s="108">
        <f>F116*E116</f>
        <v>0</v>
      </c>
      <c r="H116" s="47"/>
      <c r="I116" s="47"/>
      <c r="J116" s="47"/>
      <c r="K116" s="47"/>
      <c r="L116" s="47"/>
      <c r="M116" s="47"/>
      <c r="N116" s="47"/>
    </row>
    <row r="117" spans="1:20" s="6" customFormat="1" ht="34.5" customHeight="1">
      <c r="A117" s="118">
        <v>100</v>
      </c>
      <c r="B117" s="45" t="s">
        <v>88</v>
      </c>
      <c r="C117" s="45" t="s">
        <v>89</v>
      </c>
      <c r="D117" s="45" t="s">
        <v>56</v>
      </c>
      <c r="E117" s="46">
        <f>E114</f>
        <v>204.39</v>
      </c>
      <c r="F117" s="47"/>
      <c r="G117" s="47">
        <f>F117*E117</f>
        <v>0</v>
      </c>
      <c r="H117" s="47">
        <v>23673.75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T117" s="13" t="s">
        <v>841</v>
      </c>
    </row>
    <row r="118" spans="1:20" s="6" customFormat="1" ht="34.5" customHeight="1">
      <c r="A118" s="118">
        <v>101</v>
      </c>
      <c r="B118" s="45" t="s">
        <v>90</v>
      </c>
      <c r="C118" s="45" t="s">
        <v>55</v>
      </c>
      <c r="D118" s="45" t="s">
        <v>56</v>
      </c>
      <c r="E118" s="46">
        <f>E114</f>
        <v>204.39</v>
      </c>
      <c r="F118" s="47"/>
      <c r="G118" s="47">
        <f>F118*E118</f>
        <v>0</v>
      </c>
      <c r="H118" s="47">
        <v>26514.6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</row>
    <row r="119" spans="1:20" s="6" customFormat="1" ht="28.5" customHeight="1">
      <c r="A119" s="118">
        <v>102</v>
      </c>
      <c r="B119" s="363" t="s">
        <v>91</v>
      </c>
      <c r="C119" s="363" t="s">
        <v>92</v>
      </c>
      <c r="D119" s="363"/>
      <c r="E119" s="383"/>
      <c r="F119" s="367"/>
      <c r="G119" s="367">
        <f>G120</f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P119" s="103"/>
    </row>
    <row r="120" spans="1:20" s="6" customFormat="1" ht="34.5" customHeight="1">
      <c r="A120" s="319">
        <v>103</v>
      </c>
      <c r="B120" s="104" t="s">
        <v>93</v>
      </c>
      <c r="C120" s="104" t="s">
        <v>94</v>
      </c>
      <c r="D120" s="104" t="s">
        <v>56</v>
      </c>
      <c r="E120" s="107">
        <f>15+358.441</f>
        <v>373.44099999999997</v>
      </c>
      <c r="F120" s="108"/>
      <c r="G120" s="108">
        <f>F120*E120</f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</row>
    <row r="121" spans="1:20" s="6" customFormat="1" ht="30.75" customHeight="1">
      <c r="A121" s="118">
        <v>104</v>
      </c>
      <c r="B121" s="369"/>
      <c r="C121" s="363" t="s">
        <v>288</v>
      </c>
      <c r="D121" s="363"/>
      <c r="E121" s="383"/>
      <c r="F121" s="367"/>
      <c r="G121" s="367">
        <f>SUM(G122:G183)</f>
        <v>0</v>
      </c>
      <c r="H121" s="67">
        <v>376378.02500000002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</row>
    <row r="122" spans="1:20" ht="12" customHeight="1">
      <c r="A122" s="118">
        <v>105</v>
      </c>
      <c r="B122" s="45" t="s">
        <v>148</v>
      </c>
      <c r="C122" s="45" t="s">
        <v>149</v>
      </c>
      <c r="D122" s="45" t="s">
        <v>40</v>
      </c>
      <c r="E122" s="46">
        <v>163</v>
      </c>
      <c r="F122" s="47"/>
      <c r="G122" s="47">
        <f>F122*E122</f>
        <v>0</v>
      </c>
      <c r="H122" s="47">
        <v>0</v>
      </c>
      <c r="I122" s="47">
        <v>0</v>
      </c>
      <c r="J122" s="47">
        <v>0</v>
      </c>
      <c r="K122" s="47">
        <v>0</v>
      </c>
      <c r="L122" s="47">
        <v>0</v>
      </c>
      <c r="M122" s="47">
        <v>0</v>
      </c>
      <c r="N122" s="47">
        <v>0</v>
      </c>
    </row>
    <row r="123" spans="1:20" ht="12" customHeight="1">
      <c r="A123" s="118">
        <v>106</v>
      </c>
      <c r="B123" s="45" t="s">
        <v>150</v>
      </c>
      <c r="C123" s="45" t="s">
        <v>151</v>
      </c>
      <c r="D123" s="45" t="s">
        <v>40</v>
      </c>
      <c r="E123" s="46">
        <v>163</v>
      </c>
      <c r="F123" s="47"/>
      <c r="G123" s="47">
        <f t="shared" ref="G123:G183" si="8">F123*E123</f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</row>
    <row r="124" spans="1:20" ht="12" customHeight="1">
      <c r="A124" s="118">
        <v>107</v>
      </c>
      <c r="B124" s="45" t="s">
        <v>152</v>
      </c>
      <c r="C124" s="45" t="s">
        <v>153</v>
      </c>
      <c r="D124" s="45" t="s">
        <v>40</v>
      </c>
      <c r="E124" s="46">
        <v>163</v>
      </c>
      <c r="F124" s="47"/>
      <c r="G124" s="47">
        <f t="shared" si="8"/>
        <v>0</v>
      </c>
      <c r="H124" s="47">
        <v>0</v>
      </c>
      <c r="I124" s="47">
        <v>0</v>
      </c>
      <c r="J124" s="47">
        <v>0</v>
      </c>
      <c r="K124" s="47">
        <v>0</v>
      </c>
      <c r="L124" s="47">
        <v>0</v>
      </c>
      <c r="M124" s="47">
        <v>0</v>
      </c>
      <c r="N124" s="47">
        <v>0</v>
      </c>
    </row>
    <row r="125" spans="1:20" ht="12" customHeight="1">
      <c r="A125" s="118">
        <v>108</v>
      </c>
      <c r="B125" s="45" t="s">
        <v>154</v>
      </c>
      <c r="C125" s="45" t="s">
        <v>155</v>
      </c>
      <c r="D125" s="45" t="s">
        <v>40</v>
      </c>
      <c r="E125" s="46">
        <v>163</v>
      </c>
      <c r="F125" s="47"/>
      <c r="G125" s="47">
        <f t="shared" si="8"/>
        <v>0</v>
      </c>
      <c r="H125" s="47">
        <v>0</v>
      </c>
      <c r="I125" s="47">
        <v>0</v>
      </c>
      <c r="J125" s="47">
        <v>0</v>
      </c>
      <c r="K125" s="47">
        <v>0</v>
      </c>
      <c r="L125" s="47">
        <v>0</v>
      </c>
      <c r="M125" s="47">
        <v>0</v>
      </c>
      <c r="N125" s="47">
        <v>0</v>
      </c>
    </row>
    <row r="126" spans="1:20" ht="12" customHeight="1">
      <c r="A126" s="118">
        <v>109</v>
      </c>
      <c r="B126" s="45" t="s">
        <v>156</v>
      </c>
      <c r="C126" s="45" t="s">
        <v>157</v>
      </c>
      <c r="D126" s="45" t="s">
        <v>40</v>
      </c>
      <c r="E126" s="46">
        <v>163</v>
      </c>
      <c r="F126" s="47"/>
      <c r="G126" s="47">
        <f t="shared" si="8"/>
        <v>0</v>
      </c>
      <c r="H126" s="47">
        <v>0</v>
      </c>
      <c r="I126" s="47">
        <v>0</v>
      </c>
      <c r="J126" s="47">
        <v>0</v>
      </c>
      <c r="K126" s="47">
        <v>0</v>
      </c>
      <c r="L126" s="47">
        <v>0</v>
      </c>
      <c r="M126" s="47">
        <v>0</v>
      </c>
      <c r="N126" s="47">
        <v>0</v>
      </c>
    </row>
    <row r="127" spans="1:20" ht="25.5">
      <c r="A127" s="118">
        <v>110</v>
      </c>
      <c r="B127" s="45" t="s">
        <v>119</v>
      </c>
      <c r="C127" s="45" t="s">
        <v>120</v>
      </c>
      <c r="D127" s="45" t="s">
        <v>40</v>
      </c>
      <c r="E127" s="46">
        <v>163</v>
      </c>
      <c r="F127" s="47"/>
      <c r="G127" s="47">
        <f t="shared" si="8"/>
        <v>0</v>
      </c>
      <c r="H127" s="47">
        <v>0</v>
      </c>
      <c r="I127" s="47">
        <v>0</v>
      </c>
      <c r="J127" s="47">
        <v>0</v>
      </c>
      <c r="K127" s="47">
        <v>0</v>
      </c>
      <c r="L127" s="47">
        <v>0</v>
      </c>
      <c r="M127" s="47">
        <v>0</v>
      </c>
      <c r="N127" s="47">
        <v>0</v>
      </c>
    </row>
    <row r="128" spans="1:20" ht="12" customHeight="1">
      <c r="A128" s="118">
        <v>111</v>
      </c>
      <c r="B128" s="54" t="s">
        <v>121</v>
      </c>
      <c r="C128" s="54" t="s">
        <v>289</v>
      </c>
      <c r="D128" s="54" t="s">
        <v>122</v>
      </c>
      <c r="E128" s="55">
        <v>5.7</v>
      </c>
      <c r="F128" s="56"/>
      <c r="G128" s="47">
        <f t="shared" si="8"/>
        <v>0</v>
      </c>
      <c r="H128" s="56">
        <v>604.79999999999995</v>
      </c>
      <c r="I128" s="56"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</row>
    <row r="129" spans="1:14" ht="12" customHeight="1">
      <c r="A129" s="118">
        <v>112</v>
      </c>
      <c r="B129" s="45" t="s">
        <v>146</v>
      </c>
      <c r="C129" s="45" t="s">
        <v>147</v>
      </c>
      <c r="D129" s="45" t="s">
        <v>40</v>
      </c>
      <c r="E129" s="46">
        <v>555</v>
      </c>
      <c r="F129" s="47"/>
      <c r="G129" s="47">
        <f t="shared" si="8"/>
        <v>0</v>
      </c>
      <c r="H129" s="47"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</row>
    <row r="130" spans="1:14" ht="12" customHeight="1">
      <c r="A130" s="118">
        <v>113</v>
      </c>
      <c r="B130" s="45" t="s">
        <v>148</v>
      </c>
      <c r="C130" s="45" t="s">
        <v>149</v>
      </c>
      <c r="D130" s="45" t="s">
        <v>40</v>
      </c>
      <c r="E130" s="46">
        <v>555</v>
      </c>
      <c r="F130" s="47"/>
      <c r="G130" s="47">
        <f t="shared" si="8"/>
        <v>0</v>
      </c>
      <c r="H130" s="47">
        <v>0</v>
      </c>
      <c r="I130" s="47">
        <v>0</v>
      </c>
      <c r="J130" s="47">
        <v>0</v>
      </c>
      <c r="K130" s="47">
        <v>0</v>
      </c>
      <c r="L130" s="47">
        <v>0</v>
      </c>
      <c r="M130" s="47">
        <v>0</v>
      </c>
      <c r="N130" s="47">
        <v>0</v>
      </c>
    </row>
    <row r="131" spans="1:14" ht="12" customHeight="1">
      <c r="A131" s="118">
        <v>114</v>
      </c>
      <c r="B131" s="45" t="s">
        <v>154</v>
      </c>
      <c r="C131" s="45" t="s">
        <v>155</v>
      </c>
      <c r="D131" s="45" t="s">
        <v>40</v>
      </c>
      <c r="E131" s="46">
        <v>555</v>
      </c>
      <c r="F131" s="47"/>
      <c r="G131" s="47">
        <f t="shared" si="8"/>
        <v>0</v>
      </c>
      <c r="H131" s="47">
        <v>0</v>
      </c>
      <c r="I131" s="47">
        <v>0</v>
      </c>
      <c r="J131" s="47">
        <v>0</v>
      </c>
      <c r="K131" s="47">
        <v>0</v>
      </c>
      <c r="L131" s="47">
        <v>0</v>
      </c>
      <c r="M131" s="47">
        <v>0</v>
      </c>
      <c r="N131" s="47">
        <v>0</v>
      </c>
    </row>
    <row r="132" spans="1:14" ht="12" customHeight="1">
      <c r="A132" s="118">
        <v>115</v>
      </c>
      <c r="B132" s="45" t="s">
        <v>123</v>
      </c>
      <c r="C132" s="45" t="s">
        <v>124</v>
      </c>
      <c r="D132" s="45" t="s">
        <v>40</v>
      </c>
      <c r="E132" s="46">
        <v>555</v>
      </c>
      <c r="F132" s="47"/>
      <c r="G132" s="47">
        <f t="shared" si="8"/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  <c r="M132" s="47">
        <v>0</v>
      </c>
      <c r="N132" s="47">
        <v>0</v>
      </c>
    </row>
    <row r="133" spans="1:14" ht="12" customHeight="1">
      <c r="A133" s="118">
        <v>116</v>
      </c>
      <c r="B133" s="54" t="s">
        <v>125</v>
      </c>
      <c r="C133" s="54" t="s">
        <v>126</v>
      </c>
      <c r="D133" s="54" t="s">
        <v>45</v>
      </c>
      <c r="E133" s="55">
        <v>32.36</v>
      </c>
      <c r="F133" s="56"/>
      <c r="G133" s="47">
        <f t="shared" si="8"/>
        <v>0</v>
      </c>
      <c r="H133" s="56">
        <v>28417.216</v>
      </c>
      <c r="I133" s="56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</row>
    <row r="134" spans="1:14" ht="25.5">
      <c r="A134" s="118">
        <v>117</v>
      </c>
      <c r="B134" s="45" t="s">
        <v>127</v>
      </c>
      <c r="C134" s="45" t="s">
        <v>128</v>
      </c>
      <c r="D134" s="45" t="s">
        <v>109</v>
      </c>
      <c r="E134" s="46">
        <v>35</v>
      </c>
      <c r="F134" s="47"/>
      <c r="G134" s="47">
        <f t="shared" si="8"/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</row>
    <row r="135" spans="1:14" ht="25.5">
      <c r="A135" s="118">
        <v>118</v>
      </c>
      <c r="B135" s="45" t="s">
        <v>129</v>
      </c>
      <c r="C135" s="45" t="s">
        <v>130</v>
      </c>
      <c r="D135" s="45" t="s">
        <v>109</v>
      </c>
      <c r="E135" s="46">
        <v>5</v>
      </c>
      <c r="F135" s="47"/>
      <c r="G135" s="47">
        <f t="shared" si="8"/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</row>
    <row r="136" spans="1:14" ht="25.5">
      <c r="A136" s="118">
        <v>119</v>
      </c>
      <c r="B136" s="45" t="s">
        <v>131</v>
      </c>
      <c r="C136" s="45" t="s">
        <v>132</v>
      </c>
      <c r="D136" s="45" t="s">
        <v>109</v>
      </c>
      <c r="E136" s="46">
        <v>4</v>
      </c>
      <c r="F136" s="47"/>
      <c r="G136" s="47">
        <f t="shared" si="8"/>
        <v>0</v>
      </c>
      <c r="H136" s="47">
        <v>0</v>
      </c>
      <c r="I136" s="47"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</row>
    <row r="137" spans="1:14" ht="25.5">
      <c r="A137" s="118">
        <v>120</v>
      </c>
      <c r="B137" s="45" t="s">
        <v>133</v>
      </c>
      <c r="C137" s="45" t="s">
        <v>134</v>
      </c>
      <c r="D137" s="45" t="s">
        <v>109</v>
      </c>
      <c r="E137" s="46">
        <v>2</v>
      </c>
      <c r="F137" s="47"/>
      <c r="G137" s="47">
        <f t="shared" si="8"/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0</v>
      </c>
      <c r="N137" s="47">
        <v>0</v>
      </c>
    </row>
    <row r="138" spans="1:14" ht="12" customHeight="1">
      <c r="A138" s="118">
        <v>121</v>
      </c>
      <c r="B138" s="54" t="s">
        <v>125</v>
      </c>
      <c r="C138" s="54" t="s">
        <v>126</v>
      </c>
      <c r="D138" s="54" t="s">
        <v>45</v>
      </c>
      <c r="E138" s="55">
        <v>0.06</v>
      </c>
      <c r="F138" s="56"/>
      <c r="G138" s="47">
        <f t="shared" si="8"/>
        <v>0</v>
      </c>
      <c r="H138" s="56">
        <v>58.56</v>
      </c>
      <c r="I138" s="56"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</row>
    <row r="139" spans="1:14" ht="25.5">
      <c r="A139" s="118">
        <v>122</v>
      </c>
      <c r="B139" s="45" t="s">
        <v>158</v>
      </c>
      <c r="C139" s="45" t="s">
        <v>159</v>
      </c>
      <c r="D139" s="45" t="s">
        <v>109</v>
      </c>
      <c r="E139" s="46">
        <f>SUM(E140:E143)</f>
        <v>49</v>
      </c>
      <c r="F139" s="47"/>
      <c r="G139" s="47">
        <f t="shared" si="8"/>
        <v>0</v>
      </c>
      <c r="H139" s="47">
        <v>22.05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</row>
    <row r="140" spans="1:14" ht="12" customHeight="1">
      <c r="A140" s="118">
        <v>123</v>
      </c>
      <c r="B140" s="54" t="s">
        <v>160</v>
      </c>
      <c r="C140" s="54" t="s">
        <v>161</v>
      </c>
      <c r="D140" s="54" t="s">
        <v>139</v>
      </c>
      <c r="E140" s="55">
        <v>11</v>
      </c>
      <c r="F140" s="56"/>
      <c r="G140" s="47">
        <f t="shared" si="8"/>
        <v>0</v>
      </c>
      <c r="H140" s="56">
        <v>945</v>
      </c>
      <c r="I140" s="56">
        <v>0</v>
      </c>
      <c r="J140" s="56">
        <v>0</v>
      </c>
      <c r="K140" s="56">
        <v>0</v>
      </c>
      <c r="L140" s="56">
        <v>0</v>
      </c>
      <c r="M140" s="56">
        <v>0</v>
      </c>
      <c r="N140" s="56">
        <v>0</v>
      </c>
    </row>
    <row r="141" spans="1:14" ht="12" customHeight="1">
      <c r="A141" s="118">
        <v>124</v>
      </c>
      <c r="B141" s="54" t="s">
        <v>162</v>
      </c>
      <c r="C141" s="54" t="s">
        <v>163</v>
      </c>
      <c r="D141" s="54" t="s">
        <v>139</v>
      </c>
      <c r="E141" s="55">
        <v>8</v>
      </c>
      <c r="F141" s="56"/>
      <c r="G141" s="47">
        <f t="shared" si="8"/>
        <v>0</v>
      </c>
      <c r="H141" s="56">
        <v>525</v>
      </c>
      <c r="I141" s="56">
        <v>0</v>
      </c>
      <c r="J141" s="56">
        <v>0</v>
      </c>
      <c r="K141" s="56">
        <v>0</v>
      </c>
      <c r="L141" s="56">
        <v>0</v>
      </c>
      <c r="M141" s="56">
        <v>0</v>
      </c>
      <c r="N141" s="56">
        <v>0</v>
      </c>
    </row>
    <row r="142" spans="1:14" ht="12" customHeight="1">
      <c r="A142" s="118">
        <v>125</v>
      </c>
      <c r="B142" s="54" t="s">
        <v>164</v>
      </c>
      <c r="C142" s="54" t="s">
        <v>165</v>
      </c>
      <c r="D142" s="54" t="s">
        <v>139</v>
      </c>
      <c r="E142" s="55">
        <v>7</v>
      </c>
      <c r="F142" s="56"/>
      <c r="G142" s="47">
        <f t="shared" si="8"/>
        <v>0</v>
      </c>
      <c r="H142" s="56">
        <v>1175</v>
      </c>
      <c r="I142" s="56">
        <v>0</v>
      </c>
      <c r="J142" s="56">
        <v>0</v>
      </c>
      <c r="K142" s="56">
        <v>0</v>
      </c>
      <c r="L142" s="56">
        <v>0</v>
      </c>
      <c r="M142" s="56">
        <v>0</v>
      </c>
      <c r="N142" s="56">
        <v>0</v>
      </c>
    </row>
    <row r="143" spans="1:14" ht="12" customHeight="1">
      <c r="A143" s="118">
        <v>126</v>
      </c>
      <c r="B143" s="54" t="s">
        <v>166</v>
      </c>
      <c r="C143" s="54" t="s">
        <v>167</v>
      </c>
      <c r="D143" s="54" t="s">
        <v>139</v>
      </c>
      <c r="E143" s="55">
        <v>23</v>
      </c>
      <c r="F143" s="56"/>
      <c r="G143" s="47">
        <f t="shared" si="8"/>
        <v>0</v>
      </c>
      <c r="H143" s="56">
        <v>5200</v>
      </c>
      <c r="I143" s="56"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</row>
    <row r="144" spans="1:14" ht="25.5">
      <c r="A144" s="118">
        <v>127</v>
      </c>
      <c r="B144" s="45" t="s">
        <v>168</v>
      </c>
      <c r="C144" s="45" t="s">
        <v>169</v>
      </c>
      <c r="D144" s="45" t="s">
        <v>109</v>
      </c>
      <c r="E144" s="46">
        <f>SUM(E145:E146)</f>
        <v>5</v>
      </c>
      <c r="F144" s="47"/>
      <c r="G144" s="47">
        <f t="shared" si="8"/>
        <v>0</v>
      </c>
      <c r="H144" s="47">
        <v>6.3</v>
      </c>
      <c r="I144" s="47">
        <v>0</v>
      </c>
      <c r="J144" s="47">
        <v>0</v>
      </c>
      <c r="K144" s="47">
        <v>0</v>
      </c>
      <c r="L144" s="47">
        <v>0</v>
      </c>
      <c r="M144" s="47">
        <v>0</v>
      </c>
      <c r="N144" s="47">
        <v>0</v>
      </c>
    </row>
    <row r="145" spans="1:14" ht="12" customHeight="1">
      <c r="A145" s="118">
        <v>128</v>
      </c>
      <c r="B145" s="54" t="s">
        <v>170</v>
      </c>
      <c r="C145" s="54" t="s">
        <v>171</v>
      </c>
      <c r="D145" s="54" t="s">
        <v>139</v>
      </c>
      <c r="E145" s="55">
        <v>4</v>
      </c>
      <c r="F145" s="56"/>
      <c r="G145" s="47">
        <f t="shared" si="8"/>
        <v>0</v>
      </c>
      <c r="H145" s="56">
        <v>5000</v>
      </c>
      <c r="I145" s="56">
        <v>0</v>
      </c>
      <c r="J145" s="56">
        <v>0</v>
      </c>
      <c r="K145" s="56">
        <v>0</v>
      </c>
      <c r="L145" s="56">
        <v>0</v>
      </c>
      <c r="M145" s="56">
        <v>0</v>
      </c>
      <c r="N145" s="56">
        <v>0</v>
      </c>
    </row>
    <row r="146" spans="1:14" ht="12" customHeight="1">
      <c r="A146" s="118">
        <v>129</v>
      </c>
      <c r="B146" s="54" t="s">
        <v>172</v>
      </c>
      <c r="C146" s="54" t="s">
        <v>173</v>
      </c>
      <c r="D146" s="54" t="s">
        <v>139</v>
      </c>
      <c r="E146" s="55">
        <v>1</v>
      </c>
      <c r="F146" s="56"/>
      <c r="G146" s="47">
        <f t="shared" si="8"/>
        <v>0</v>
      </c>
      <c r="H146" s="56">
        <v>1250</v>
      </c>
      <c r="I146" s="56">
        <v>0</v>
      </c>
      <c r="J146" s="56">
        <v>0</v>
      </c>
      <c r="K146" s="56">
        <v>0</v>
      </c>
      <c r="L146" s="56">
        <v>0</v>
      </c>
      <c r="M146" s="56">
        <v>0</v>
      </c>
      <c r="N146" s="56">
        <v>0</v>
      </c>
    </row>
    <row r="147" spans="1:14" ht="25.5">
      <c r="A147" s="118">
        <v>130</v>
      </c>
      <c r="B147" s="45" t="s">
        <v>174</v>
      </c>
      <c r="C147" s="45" t="s">
        <v>175</v>
      </c>
      <c r="D147" s="45" t="s">
        <v>109</v>
      </c>
      <c r="E147" s="46">
        <f>E148</f>
        <v>5</v>
      </c>
      <c r="F147" s="47"/>
      <c r="G147" s="47">
        <f t="shared" si="8"/>
        <v>0</v>
      </c>
      <c r="H147" s="47">
        <v>7.56</v>
      </c>
      <c r="I147" s="47">
        <v>0</v>
      </c>
      <c r="J147" s="47">
        <v>0</v>
      </c>
      <c r="K147" s="47">
        <v>0</v>
      </c>
      <c r="L147" s="47">
        <v>0</v>
      </c>
      <c r="M147" s="47">
        <v>0</v>
      </c>
      <c r="N147" s="47">
        <v>0</v>
      </c>
    </row>
    <row r="148" spans="1:14" ht="12" customHeight="1">
      <c r="A148" s="118">
        <v>131</v>
      </c>
      <c r="B148" s="54" t="s">
        <v>176</v>
      </c>
      <c r="C148" s="54" t="s">
        <v>284</v>
      </c>
      <c r="D148" s="54" t="s">
        <v>139</v>
      </c>
      <c r="E148" s="55">
        <v>5</v>
      </c>
      <c r="F148" s="56"/>
      <c r="G148" s="47">
        <f t="shared" si="8"/>
        <v>0</v>
      </c>
      <c r="H148" s="56">
        <v>30000</v>
      </c>
      <c r="I148" s="56">
        <v>0</v>
      </c>
      <c r="J148" s="56">
        <v>0</v>
      </c>
      <c r="K148" s="56">
        <v>0</v>
      </c>
      <c r="L148" s="56">
        <v>0</v>
      </c>
      <c r="M148" s="56">
        <v>0</v>
      </c>
      <c r="N148" s="56">
        <v>0</v>
      </c>
    </row>
    <row r="149" spans="1:14" ht="25.5">
      <c r="A149" s="118">
        <v>132</v>
      </c>
      <c r="B149" s="45" t="s">
        <v>177</v>
      </c>
      <c r="C149" s="45" t="s">
        <v>178</v>
      </c>
      <c r="D149" s="45" t="s">
        <v>109</v>
      </c>
      <c r="E149" s="46">
        <v>2</v>
      </c>
      <c r="F149" s="47"/>
      <c r="G149" s="47">
        <f t="shared" si="8"/>
        <v>0</v>
      </c>
      <c r="H149" s="47">
        <v>7.56</v>
      </c>
      <c r="I149" s="47">
        <v>0</v>
      </c>
      <c r="J149" s="47">
        <v>0</v>
      </c>
      <c r="K149" s="47">
        <v>0</v>
      </c>
      <c r="L149" s="47">
        <v>0</v>
      </c>
      <c r="M149" s="47">
        <v>0</v>
      </c>
      <c r="N149" s="47">
        <v>0</v>
      </c>
    </row>
    <row r="150" spans="1:14" ht="12" customHeight="1">
      <c r="A150" s="118">
        <v>133</v>
      </c>
      <c r="B150" s="54" t="s">
        <v>179</v>
      </c>
      <c r="C150" s="54" t="s">
        <v>180</v>
      </c>
      <c r="D150" s="54" t="s">
        <v>139</v>
      </c>
      <c r="E150" s="55">
        <v>2</v>
      </c>
      <c r="F150" s="56"/>
      <c r="G150" s="47">
        <f t="shared" si="8"/>
        <v>0</v>
      </c>
      <c r="H150" s="56">
        <v>19000</v>
      </c>
      <c r="I150" s="56"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</row>
    <row r="151" spans="1:14" ht="12" customHeight="1">
      <c r="A151" s="118">
        <v>134</v>
      </c>
      <c r="B151" s="45" t="s">
        <v>181</v>
      </c>
      <c r="C151" s="45" t="s">
        <v>182</v>
      </c>
      <c r="D151" s="45" t="s">
        <v>109</v>
      </c>
      <c r="E151" s="46">
        <v>2</v>
      </c>
      <c r="F151" s="47"/>
      <c r="G151" s="47">
        <f t="shared" si="8"/>
        <v>0</v>
      </c>
      <c r="H151" s="47">
        <v>23.62</v>
      </c>
      <c r="I151" s="47">
        <v>0</v>
      </c>
      <c r="J151" s="47">
        <v>0</v>
      </c>
      <c r="K151" s="47">
        <v>0</v>
      </c>
      <c r="L151" s="47">
        <v>0</v>
      </c>
      <c r="M151" s="47">
        <v>0</v>
      </c>
      <c r="N151" s="47">
        <v>0</v>
      </c>
    </row>
    <row r="152" spans="1:14" ht="12" customHeight="1">
      <c r="A152" s="118">
        <v>135</v>
      </c>
      <c r="B152" s="54" t="s">
        <v>183</v>
      </c>
      <c r="C152" s="54" t="s">
        <v>184</v>
      </c>
      <c r="D152" s="54" t="s">
        <v>139</v>
      </c>
      <c r="E152" s="55">
        <v>6</v>
      </c>
      <c r="F152" s="56"/>
      <c r="G152" s="47">
        <f t="shared" si="8"/>
        <v>0</v>
      </c>
      <c r="H152" s="56">
        <v>792</v>
      </c>
      <c r="I152" s="56">
        <v>0</v>
      </c>
      <c r="J152" s="56">
        <v>0</v>
      </c>
      <c r="K152" s="56">
        <v>0</v>
      </c>
      <c r="L152" s="56">
        <v>0</v>
      </c>
      <c r="M152" s="56">
        <v>0</v>
      </c>
      <c r="N152" s="56">
        <v>0</v>
      </c>
    </row>
    <row r="153" spans="1:14" ht="12" customHeight="1">
      <c r="A153" s="118">
        <v>136</v>
      </c>
      <c r="B153" s="54" t="s">
        <v>185</v>
      </c>
      <c r="C153" s="54" t="s">
        <v>186</v>
      </c>
      <c r="D153" s="54" t="s">
        <v>139</v>
      </c>
      <c r="E153" s="55">
        <v>2</v>
      </c>
      <c r="F153" s="56"/>
      <c r="G153" s="47">
        <f t="shared" si="8"/>
        <v>0</v>
      </c>
      <c r="H153" s="56">
        <v>1400</v>
      </c>
      <c r="I153" s="56">
        <v>0</v>
      </c>
      <c r="J153" s="56">
        <v>0</v>
      </c>
      <c r="K153" s="56">
        <v>0</v>
      </c>
      <c r="L153" s="56">
        <v>0</v>
      </c>
      <c r="M153" s="56">
        <v>0</v>
      </c>
      <c r="N153" s="56">
        <v>0</v>
      </c>
    </row>
    <row r="154" spans="1:14" ht="12" customHeight="1">
      <c r="A154" s="118">
        <v>137</v>
      </c>
      <c r="B154" s="45" t="s">
        <v>187</v>
      </c>
      <c r="C154" s="45" t="s">
        <v>188</v>
      </c>
      <c r="D154" s="45" t="s">
        <v>109</v>
      </c>
      <c r="E154" s="46">
        <v>4</v>
      </c>
      <c r="F154" s="47"/>
      <c r="G154" s="47">
        <f t="shared" si="8"/>
        <v>0</v>
      </c>
      <c r="H154" s="47">
        <v>0</v>
      </c>
      <c r="I154" s="47">
        <v>0</v>
      </c>
      <c r="J154" s="47">
        <v>0</v>
      </c>
      <c r="K154" s="47">
        <v>0</v>
      </c>
      <c r="L154" s="47">
        <v>0</v>
      </c>
      <c r="M154" s="47">
        <v>0</v>
      </c>
      <c r="N154" s="47">
        <v>0</v>
      </c>
    </row>
    <row r="155" spans="1:14" ht="12" customHeight="1">
      <c r="A155" s="118">
        <v>138</v>
      </c>
      <c r="B155" s="54" t="s">
        <v>189</v>
      </c>
      <c r="C155" s="54" t="s">
        <v>190</v>
      </c>
      <c r="D155" s="54" t="s">
        <v>139</v>
      </c>
      <c r="E155" s="55">
        <v>4</v>
      </c>
      <c r="F155" s="56"/>
      <c r="G155" s="47">
        <f t="shared" si="8"/>
        <v>0</v>
      </c>
      <c r="H155" s="56">
        <v>1800</v>
      </c>
      <c r="I155" s="56">
        <v>0</v>
      </c>
      <c r="J155" s="56">
        <v>0</v>
      </c>
      <c r="K155" s="56">
        <v>0</v>
      </c>
      <c r="L155" s="56">
        <v>0</v>
      </c>
      <c r="M155" s="56">
        <v>0</v>
      </c>
      <c r="N155" s="56">
        <v>0</v>
      </c>
    </row>
    <row r="156" spans="1:14" ht="12" customHeight="1">
      <c r="A156" s="118">
        <v>139</v>
      </c>
      <c r="B156" s="45" t="s">
        <v>191</v>
      </c>
      <c r="C156" s="45" t="s">
        <v>192</v>
      </c>
      <c r="D156" s="45" t="s">
        <v>109</v>
      </c>
      <c r="E156" s="46">
        <v>4</v>
      </c>
      <c r="F156" s="47"/>
      <c r="G156" s="47">
        <f t="shared" si="8"/>
        <v>0</v>
      </c>
      <c r="H156" s="47">
        <v>0</v>
      </c>
      <c r="I156" s="47">
        <v>0</v>
      </c>
      <c r="J156" s="47">
        <v>0</v>
      </c>
      <c r="K156" s="47">
        <v>0</v>
      </c>
      <c r="L156" s="47">
        <v>0</v>
      </c>
      <c r="M156" s="47">
        <v>0</v>
      </c>
      <c r="N156" s="47">
        <v>0</v>
      </c>
    </row>
    <row r="157" spans="1:14" ht="12" customHeight="1">
      <c r="A157" s="118">
        <v>140</v>
      </c>
      <c r="B157" s="54" t="s">
        <v>193</v>
      </c>
      <c r="C157" s="54" t="s">
        <v>293</v>
      </c>
      <c r="D157" s="54" t="s">
        <v>45</v>
      </c>
      <c r="E157" s="55">
        <v>4.0000000000000001E-3</v>
      </c>
      <c r="F157" s="56"/>
      <c r="G157" s="47">
        <f t="shared" si="8"/>
        <v>0</v>
      </c>
      <c r="H157" s="56">
        <v>3.0880000000000001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</row>
    <row r="158" spans="1:14" ht="12" customHeight="1">
      <c r="A158" s="118">
        <v>141</v>
      </c>
      <c r="B158" s="45" t="s">
        <v>191</v>
      </c>
      <c r="C158" s="45" t="s">
        <v>192</v>
      </c>
      <c r="D158" s="45" t="s">
        <v>109</v>
      </c>
      <c r="E158" s="46">
        <v>5</v>
      </c>
      <c r="F158" s="47"/>
      <c r="G158" s="47">
        <f t="shared" si="8"/>
        <v>0</v>
      </c>
      <c r="H158" s="47">
        <v>0</v>
      </c>
      <c r="I158" s="47">
        <v>0</v>
      </c>
      <c r="J158" s="47">
        <v>0</v>
      </c>
      <c r="K158" s="47">
        <v>0</v>
      </c>
      <c r="L158" s="47">
        <v>0</v>
      </c>
      <c r="M158" s="47">
        <v>0</v>
      </c>
      <c r="N158" s="47">
        <v>0</v>
      </c>
    </row>
    <row r="159" spans="1:14" ht="12" customHeight="1">
      <c r="A159" s="118">
        <v>142</v>
      </c>
      <c r="B159" s="54" t="s">
        <v>193</v>
      </c>
      <c r="C159" s="54" t="s">
        <v>293</v>
      </c>
      <c r="D159" s="54" t="s">
        <v>45</v>
      </c>
      <c r="E159" s="55">
        <v>0.05</v>
      </c>
      <c r="F159" s="56"/>
      <c r="G159" s="47">
        <f t="shared" si="8"/>
        <v>0</v>
      </c>
      <c r="H159" s="56">
        <v>38.6</v>
      </c>
      <c r="I159" s="56">
        <v>0</v>
      </c>
      <c r="J159" s="56">
        <v>0</v>
      </c>
      <c r="K159" s="56">
        <v>0</v>
      </c>
      <c r="L159" s="56">
        <v>0</v>
      </c>
      <c r="M159" s="56">
        <v>0</v>
      </c>
      <c r="N159" s="56">
        <v>0</v>
      </c>
    </row>
    <row r="160" spans="1:14" ht="12" customHeight="1">
      <c r="A160" s="118">
        <v>143</v>
      </c>
      <c r="B160" s="45" t="s">
        <v>195</v>
      </c>
      <c r="C160" s="45" t="s">
        <v>196</v>
      </c>
      <c r="D160" s="45" t="s">
        <v>109</v>
      </c>
      <c r="E160" s="46">
        <v>2</v>
      </c>
      <c r="F160" s="47"/>
      <c r="G160" s="47">
        <f t="shared" si="8"/>
        <v>0</v>
      </c>
      <c r="H160" s="47">
        <v>0</v>
      </c>
      <c r="I160" s="47">
        <v>0</v>
      </c>
      <c r="J160" s="47">
        <v>0</v>
      </c>
      <c r="K160" s="47">
        <v>0</v>
      </c>
      <c r="L160" s="47">
        <v>0</v>
      </c>
      <c r="M160" s="47">
        <v>0</v>
      </c>
      <c r="N160" s="47">
        <v>0</v>
      </c>
    </row>
    <row r="161" spans="1:14" ht="12" customHeight="1">
      <c r="A161" s="118">
        <v>144</v>
      </c>
      <c r="B161" s="54" t="s">
        <v>193</v>
      </c>
      <c r="C161" s="54" t="s">
        <v>194</v>
      </c>
      <c r="D161" s="54" t="s">
        <v>45</v>
      </c>
      <c r="E161" s="55">
        <v>1.4E-2</v>
      </c>
      <c r="F161" s="56"/>
      <c r="G161" s="47">
        <f t="shared" si="8"/>
        <v>0</v>
      </c>
      <c r="H161" s="56">
        <v>10.808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  <c r="N161" s="56">
        <v>0</v>
      </c>
    </row>
    <row r="162" spans="1:14" ht="12" customHeight="1">
      <c r="A162" s="118">
        <v>145</v>
      </c>
      <c r="B162" s="45" t="s">
        <v>197</v>
      </c>
      <c r="C162" s="45" t="s">
        <v>198</v>
      </c>
      <c r="D162" s="45" t="s">
        <v>109</v>
      </c>
      <c r="E162" s="46">
        <v>2</v>
      </c>
      <c r="F162" s="47"/>
      <c r="G162" s="47">
        <f t="shared" si="8"/>
        <v>0</v>
      </c>
      <c r="H162" s="47">
        <v>0</v>
      </c>
      <c r="I162" s="47">
        <v>0</v>
      </c>
      <c r="J162" s="47">
        <v>0</v>
      </c>
      <c r="K162" s="47">
        <v>0</v>
      </c>
      <c r="L162" s="47">
        <v>0</v>
      </c>
      <c r="M162" s="47">
        <v>0</v>
      </c>
      <c r="N162" s="47">
        <v>0</v>
      </c>
    </row>
    <row r="163" spans="1:14" ht="12" customHeight="1">
      <c r="A163" s="118">
        <v>146</v>
      </c>
      <c r="B163" s="45" t="s">
        <v>107</v>
      </c>
      <c r="C163" s="45" t="s">
        <v>259</v>
      </c>
      <c r="D163" s="45" t="s">
        <v>109</v>
      </c>
      <c r="E163" s="46">
        <v>2</v>
      </c>
      <c r="F163" s="47"/>
      <c r="G163" s="47">
        <f t="shared" si="8"/>
        <v>0</v>
      </c>
      <c r="H163" s="47"/>
      <c r="I163" s="47"/>
      <c r="J163" s="47"/>
      <c r="K163" s="47"/>
      <c r="L163" s="47"/>
      <c r="M163" s="47"/>
      <c r="N163" s="47"/>
    </row>
    <row r="164" spans="1:14" ht="12" customHeight="1">
      <c r="A164" s="118">
        <v>147</v>
      </c>
      <c r="B164" s="54" t="s">
        <v>108</v>
      </c>
      <c r="C164" s="54" t="s">
        <v>260</v>
      </c>
      <c r="D164" s="54" t="s">
        <v>122</v>
      </c>
      <c r="E164" s="55">
        <v>0.02</v>
      </c>
      <c r="F164" s="56"/>
      <c r="G164" s="47">
        <f t="shared" si="8"/>
        <v>0</v>
      </c>
      <c r="H164" s="47"/>
      <c r="I164" s="47"/>
      <c r="J164" s="47"/>
      <c r="K164" s="47"/>
      <c r="L164" s="47"/>
      <c r="M164" s="47"/>
      <c r="N164" s="47"/>
    </row>
    <row r="165" spans="1:14" ht="12" customHeight="1">
      <c r="A165" s="118">
        <v>148</v>
      </c>
      <c r="B165" s="45" t="s">
        <v>135</v>
      </c>
      <c r="C165" s="45" t="s">
        <v>136</v>
      </c>
      <c r="D165" s="45" t="s">
        <v>109</v>
      </c>
      <c r="E165" s="46">
        <f>SUM(E167:E177)</f>
        <v>3180</v>
      </c>
      <c r="F165" s="47"/>
      <c r="G165" s="47">
        <f t="shared" si="8"/>
        <v>0</v>
      </c>
      <c r="H165" s="47">
        <v>198.88</v>
      </c>
      <c r="I165" s="47">
        <v>0</v>
      </c>
      <c r="J165" s="47">
        <v>0</v>
      </c>
      <c r="K165" s="47">
        <v>0</v>
      </c>
      <c r="L165" s="47">
        <v>0</v>
      </c>
      <c r="M165" s="47">
        <v>0</v>
      </c>
      <c r="N165" s="47">
        <v>0</v>
      </c>
    </row>
    <row r="166" spans="1:14" ht="12" customHeight="1">
      <c r="A166" s="118">
        <v>149</v>
      </c>
      <c r="B166" s="45" t="s">
        <v>137</v>
      </c>
      <c r="C166" s="45" t="s">
        <v>138</v>
      </c>
      <c r="D166" s="45" t="s">
        <v>109</v>
      </c>
      <c r="E166" s="46">
        <f>E178</f>
        <v>510</v>
      </c>
      <c r="F166" s="47"/>
      <c r="G166" s="47">
        <f t="shared" si="8"/>
        <v>0</v>
      </c>
      <c r="H166" s="47">
        <v>39.200000000000003</v>
      </c>
      <c r="I166" s="47">
        <v>0</v>
      </c>
      <c r="J166" s="47">
        <v>0</v>
      </c>
      <c r="K166" s="47">
        <v>0</v>
      </c>
      <c r="L166" s="47">
        <v>0</v>
      </c>
      <c r="M166" s="47">
        <v>0</v>
      </c>
      <c r="N166" s="47">
        <v>0</v>
      </c>
    </row>
    <row r="167" spans="1:14" ht="12" customHeight="1">
      <c r="A167" s="118">
        <v>150</v>
      </c>
      <c r="B167" s="174" t="s">
        <v>456</v>
      </c>
      <c r="C167" s="54" t="s">
        <v>462</v>
      </c>
      <c r="D167" s="173" t="s">
        <v>139</v>
      </c>
      <c r="E167" s="55">
        <v>96</v>
      </c>
      <c r="F167" s="56"/>
      <c r="G167" s="47">
        <f t="shared" si="8"/>
        <v>0</v>
      </c>
      <c r="H167" s="56">
        <v>4680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</row>
    <row r="168" spans="1:14" ht="12" customHeight="1">
      <c r="A168" s="118">
        <v>151</v>
      </c>
      <c r="B168" s="174" t="s">
        <v>457</v>
      </c>
      <c r="C168" s="54" t="s">
        <v>466</v>
      </c>
      <c r="D168" s="173" t="s">
        <v>139</v>
      </c>
      <c r="E168" s="55">
        <v>105</v>
      </c>
      <c r="F168" s="56"/>
      <c r="G168" s="47">
        <f t="shared" si="8"/>
        <v>0</v>
      </c>
      <c r="H168" s="56">
        <v>3420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</row>
    <row r="169" spans="1:14" ht="12" customHeight="1">
      <c r="A169" s="118">
        <v>152</v>
      </c>
      <c r="B169" s="174" t="s">
        <v>458</v>
      </c>
      <c r="C169" s="54" t="s">
        <v>467</v>
      </c>
      <c r="D169" s="173" t="s">
        <v>139</v>
      </c>
      <c r="E169" s="55">
        <v>76</v>
      </c>
      <c r="F169" s="56"/>
      <c r="G169" s="47">
        <f t="shared" si="8"/>
        <v>0</v>
      </c>
      <c r="H169" s="56">
        <v>2655</v>
      </c>
      <c r="I169" s="56">
        <v>0</v>
      </c>
      <c r="J169" s="56">
        <v>0</v>
      </c>
      <c r="K169" s="56">
        <v>0</v>
      </c>
      <c r="L169" s="56">
        <v>0</v>
      </c>
      <c r="M169" s="56">
        <v>0</v>
      </c>
      <c r="N169" s="56">
        <v>0</v>
      </c>
    </row>
    <row r="170" spans="1:14" ht="12" customHeight="1">
      <c r="A170" s="118">
        <v>153</v>
      </c>
      <c r="B170" s="174" t="s">
        <v>140</v>
      </c>
      <c r="C170" s="54" t="s">
        <v>468</v>
      </c>
      <c r="D170" s="173" t="s">
        <v>139</v>
      </c>
      <c r="E170" s="55">
        <v>54</v>
      </c>
      <c r="F170" s="56"/>
      <c r="G170" s="47">
        <f t="shared" si="8"/>
        <v>0</v>
      </c>
      <c r="H170" s="56">
        <v>31815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</row>
    <row r="171" spans="1:14" ht="12" customHeight="1">
      <c r="A171" s="118">
        <v>154</v>
      </c>
      <c r="B171" s="174" t="s">
        <v>141</v>
      </c>
      <c r="C171" s="54" t="s">
        <v>463</v>
      </c>
      <c r="D171" s="173" t="s">
        <v>139</v>
      </c>
      <c r="E171" s="55">
        <v>458</v>
      </c>
      <c r="F171" s="56"/>
      <c r="G171" s="47">
        <f t="shared" si="8"/>
        <v>0</v>
      </c>
      <c r="H171" s="56">
        <v>13860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56">
        <v>0</v>
      </c>
    </row>
    <row r="172" spans="1:14" ht="12" customHeight="1">
      <c r="A172" s="118">
        <v>155</v>
      </c>
      <c r="B172" s="174" t="s">
        <v>459</v>
      </c>
      <c r="C172" s="54" t="s">
        <v>469</v>
      </c>
      <c r="D172" s="173" t="s">
        <v>139</v>
      </c>
      <c r="E172" s="55">
        <v>320</v>
      </c>
      <c r="F172" s="56"/>
      <c r="G172" s="47">
        <f t="shared" si="8"/>
        <v>0</v>
      </c>
      <c r="H172" s="56">
        <v>2665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  <c r="N172" s="56">
        <v>0</v>
      </c>
    </row>
    <row r="173" spans="1:14" ht="12" customHeight="1">
      <c r="A173" s="118">
        <v>156</v>
      </c>
      <c r="B173" s="174" t="s">
        <v>473</v>
      </c>
      <c r="C173" s="54" t="s">
        <v>470</v>
      </c>
      <c r="D173" s="173" t="s">
        <v>139</v>
      </c>
      <c r="E173" s="55">
        <v>62</v>
      </c>
      <c r="F173" s="56"/>
      <c r="G173" s="47">
        <f t="shared" si="8"/>
        <v>0</v>
      </c>
      <c r="H173" s="56">
        <v>7480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</row>
    <row r="174" spans="1:14" ht="12" customHeight="1">
      <c r="A174" s="118">
        <v>157</v>
      </c>
      <c r="B174" s="174" t="s">
        <v>460</v>
      </c>
      <c r="C174" s="54" t="s">
        <v>471</v>
      </c>
      <c r="D174" s="173" t="s">
        <v>139</v>
      </c>
      <c r="E174" s="55">
        <v>624</v>
      </c>
      <c r="F174" s="56"/>
      <c r="G174" s="47">
        <f t="shared" si="8"/>
        <v>0</v>
      </c>
      <c r="H174" s="56">
        <v>18920</v>
      </c>
      <c r="I174" s="56">
        <v>0</v>
      </c>
      <c r="J174" s="56">
        <v>0</v>
      </c>
      <c r="K174" s="56">
        <v>0</v>
      </c>
      <c r="L174" s="56">
        <v>0</v>
      </c>
      <c r="M174" s="56">
        <v>0</v>
      </c>
      <c r="N174" s="56">
        <v>0</v>
      </c>
    </row>
    <row r="175" spans="1:14" ht="12" customHeight="1">
      <c r="A175" s="118">
        <v>158</v>
      </c>
      <c r="B175" s="174" t="s">
        <v>142</v>
      </c>
      <c r="C175" s="54" t="s">
        <v>464</v>
      </c>
      <c r="D175" s="173" t="s">
        <v>139</v>
      </c>
      <c r="E175" s="55">
        <v>244</v>
      </c>
      <c r="F175" s="56"/>
      <c r="G175" s="47">
        <f t="shared" si="8"/>
        <v>0</v>
      </c>
      <c r="H175" s="56">
        <v>21240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</row>
    <row r="176" spans="1:14" ht="12" customHeight="1">
      <c r="A176" s="118">
        <v>159</v>
      </c>
      <c r="B176" s="174" t="s">
        <v>143</v>
      </c>
      <c r="C176" s="54" t="s">
        <v>465</v>
      </c>
      <c r="D176" s="173" t="s">
        <v>139</v>
      </c>
      <c r="E176" s="55">
        <v>467</v>
      </c>
      <c r="F176" s="56"/>
      <c r="G176" s="47">
        <f t="shared" si="8"/>
        <v>0</v>
      </c>
      <c r="H176" s="56">
        <v>3920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</row>
    <row r="177" spans="1:14" ht="12" customHeight="1">
      <c r="A177" s="118">
        <v>160</v>
      </c>
      <c r="B177" s="174" t="s">
        <v>461</v>
      </c>
      <c r="C177" s="54" t="s">
        <v>472</v>
      </c>
      <c r="D177" s="173" t="s">
        <v>139</v>
      </c>
      <c r="E177" s="55">
        <v>674</v>
      </c>
      <c r="F177" s="56"/>
      <c r="G177" s="47">
        <f t="shared" si="8"/>
        <v>0</v>
      </c>
      <c r="H177" s="56"/>
      <c r="I177" s="56"/>
      <c r="J177" s="56"/>
      <c r="K177" s="56"/>
      <c r="L177" s="56"/>
      <c r="M177" s="56"/>
      <c r="N177" s="56"/>
    </row>
    <row r="178" spans="1:14" ht="12" customHeight="1">
      <c r="A178" s="118">
        <v>161</v>
      </c>
      <c r="B178" s="174" t="s">
        <v>475</v>
      </c>
      <c r="C178" s="54" t="s">
        <v>474</v>
      </c>
      <c r="D178" s="173" t="s">
        <v>139</v>
      </c>
      <c r="E178" s="55">
        <v>510</v>
      </c>
      <c r="F178" s="56"/>
      <c r="G178" s="47">
        <f t="shared" si="8"/>
        <v>0</v>
      </c>
      <c r="H178" s="56"/>
      <c r="I178" s="56"/>
      <c r="J178" s="56"/>
      <c r="K178" s="56"/>
      <c r="L178" s="56"/>
      <c r="M178" s="56"/>
      <c r="N178" s="56"/>
    </row>
    <row r="179" spans="1:14" ht="12" customHeight="1">
      <c r="A179" s="118">
        <v>162</v>
      </c>
      <c r="B179" s="45" t="s">
        <v>199</v>
      </c>
      <c r="C179" s="45" t="s">
        <v>200</v>
      </c>
      <c r="D179" s="45" t="s">
        <v>40</v>
      </c>
      <c r="E179" s="46">
        <v>555</v>
      </c>
      <c r="F179" s="47"/>
      <c r="G179" s="47">
        <f t="shared" si="8"/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</row>
    <row r="180" spans="1:14" ht="12" customHeight="1">
      <c r="A180" s="118">
        <v>163</v>
      </c>
      <c r="B180" s="54" t="s">
        <v>193</v>
      </c>
      <c r="C180" s="54" t="s">
        <v>293</v>
      </c>
      <c r="D180" s="54" t="s">
        <v>45</v>
      </c>
      <c r="E180" s="55">
        <f>E179*0.07</f>
        <v>38.85</v>
      </c>
      <c r="F180" s="56"/>
      <c r="G180" s="47">
        <f t="shared" si="8"/>
        <v>0</v>
      </c>
      <c r="H180" s="56">
        <v>20210.96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</row>
    <row r="181" spans="1:14" ht="12" customHeight="1">
      <c r="A181" s="118">
        <v>164</v>
      </c>
      <c r="B181" s="45" t="s">
        <v>201</v>
      </c>
      <c r="C181" s="45" t="s">
        <v>202</v>
      </c>
      <c r="D181" s="45" t="s">
        <v>56</v>
      </c>
      <c r="E181" s="46">
        <f>(E165+(E150+E148+E146+E145+E143+E142+E141+E140)*5)/1000000</f>
        <v>3.4849999999999998E-3</v>
      </c>
      <c r="F181" s="47"/>
      <c r="G181" s="47">
        <f t="shared" si="8"/>
        <v>0</v>
      </c>
      <c r="H181" s="47">
        <v>0</v>
      </c>
      <c r="I181" s="47"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</row>
    <row r="182" spans="1:14" ht="12" customHeight="1">
      <c r="A182" s="118">
        <v>165</v>
      </c>
      <c r="B182" s="54" t="s">
        <v>203</v>
      </c>
      <c r="C182" s="54" t="s">
        <v>204</v>
      </c>
      <c r="D182" s="54" t="s">
        <v>56</v>
      </c>
      <c r="E182" s="55">
        <f>E181</f>
        <v>3.4849999999999998E-3</v>
      </c>
      <c r="F182" s="56"/>
      <c r="G182" s="47">
        <f t="shared" si="8"/>
        <v>0</v>
      </c>
      <c r="H182" s="56">
        <v>0</v>
      </c>
      <c r="I182" s="56">
        <v>0</v>
      </c>
      <c r="J182" s="56">
        <v>0</v>
      </c>
      <c r="K182" s="56">
        <v>0</v>
      </c>
      <c r="L182" s="56">
        <v>0</v>
      </c>
      <c r="M182" s="56">
        <v>0</v>
      </c>
      <c r="N182" s="56">
        <v>0</v>
      </c>
    </row>
    <row r="183" spans="1:14" ht="12" customHeight="1">
      <c r="A183" s="118">
        <v>166</v>
      </c>
      <c r="B183" s="45" t="s">
        <v>205</v>
      </c>
      <c r="C183" s="45" t="s">
        <v>206</v>
      </c>
      <c r="D183" s="45" t="s">
        <v>56</v>
      </c>
      <c r="E183" s="46">
        <v>18.5</v>
      </c>
      <c r="F183" s="47"/>
      <c r="G183" s="47">
        <f t="shared" si="8"/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</row>
    <row r="184" spans="1:14" ht="25.9" customHeight="1">
      <c r="A184" s="118">
        <v>167</v>
      </c>
      <c r="B184" s="364"/>
      <c r="C184" s="363" t="s">
        <v>207</v>
      </c>
      <c r="D184" s="364"/>
      <c r="E184" s="365"/>
      <c r="F184" s="366"/>
      <c r="G184" s="367">
        <f>SUM(G185:G192)</f>
        <v>0</v>
      </c>
      <c r="H184" s="69"/>
      <c r="I184" s="69"/>
      <c r="J184" s="69"/>
      <c r="K184" s="69"/>
      <c r="L184" s="69"/>
      <c r="M184" s="69"/>
      <c r="N184" s="69"/>
    </row>
    <row r="185" spans="1:14" ht="12" customHeight="1">
      <c r="A185" s="118">
        <v>168</v>
      </c>
      <c r="B185" s="65" t="s">
        <v>107</v>
      </c>
      <c r="C185" s="65" t="s">
        <v>209</v>
      </c>
      <c r="D185" s="65" t="s">
        <v>139</v>
      </c>
      <c r="E185" s="66">
        <v>1</v>
      </c>
      <c r="F185" s="53"/>
      <c r="G185" s="53">
        <f t="shared" ref="G185:G192" si="9">F185*E185</f>
        <v>0</v>
      </c>
      <c r="H185" s="69"/>
      <c r="I185" s="69"/>
      <c r="J185" s="69"/>
      <c r="K185" s="69"/>
      <c r="L185" s="69"/>
      <c r="M185" s="69"/>
      <c r="N185" s="69"/>
    </row>
    <row r="186" spans="1:14" ht="12" customHeight="1">
      <c r="A186" s="118">
        <v>169</v>
      </c>
      <c r="B186" s="61" t="s">
        <v>108</v>
      </c>
      <c r="C186" s="61" t="s">
        <v>208</v>
      </c>
      <c r="D186" s="61" t="s">
        <v>139</v>
      </c>
      <c r="E186" s="62">
        <v>1</v>
      </c>
      <c r="F186" s="63"/>
      <c r="G186" s="53">
        <f t="shared" si="9"/>
        <v>0</v>
      </c>
      <c r="H186" s="69"/>
      <c r="I186" s="69"/>
      <c r="J186" s="69"/>
      <c r="K186" s="69"/>
      <c r="L186" s="69"/>
      <c r="M186" s="69"/>
      <c r="N186" s="69"/>
    </row>
    <row r="187" spans="1:14" ht="12" customHeight="1">
      <c r="A187" s="118">
        <v>170</v>
      </c>
      <c r="B187" s="65" t="s">
        <v>107</v>
      </c>
      <c r="C187" s="65" t="s">
        <v>210</v>
      </c>
      <c r="D187" s="65" t="s">
        <v>106</v>
      </c>
      <c r="E187" s="66">
        <v>22</v>
      </c>
      <c r="F187" s="53"/>
      <c r="G187" s="53">
        <f t="shared" si="9"/>
        <v>0</v>
      </c>
      <c r="H187" s="69"/>
      <c r="I187" s="69"/>
      <c r="J187" s="69"/>
      <c r="K187" s="69"/>
      <c r="L187" s="69"/>
      <c r="M187" s="69"/>
      <c r="N187" s="69"/>
    </row>
    <row r="188" spans="1:14" ht="12" customHeight="1">
      <c r="A188" s="118">
        <v>171</v>
      </c>
      <c r="B188" s="61" t="s">
        <v>108</v>
      </c>
      <c r="C188" s="61" t="s">
        <v>211</v>
      </c>
      <c r="D188" s="61" t="s">
        <v>106</v>
      </c>
      <c r="E188" s="62">
        <v>22</v>
      </c>
      <c r="F188" s="63"/>
      <c r="G188" s="53">
        <f t="shared" si="9"/>
        <v>0</v>
      </c>
      <c r="H188" s="69"/>
      <c r="I188" s="69"/>
      <c r="J188" s="69"/>
      <c r="K188" s="69"/>
      <c r="L188" s="69"/>
      <c r="M188" s="69"/>
      <c r="N188" s="69"/>
    </row>
    <row r="189" spans="1:14" ht="12" customHeight="1">
      <c r="A189" s="118">
        <v>172</v>
      </c>
      <c r="B189" s="65" t="s">
        <v>107</v>
      </c>
      <c r="C189" s="65" t="s">
        <v>443</v>
      </c>
      <c r="D189" s="65" t="s">
        <v>139</v>
      </c>
      <c r="E189" s="66">
        <v>1</v>
      </c>
      <c r="F189" s="53"/>
      <c r="G189" s="53">
        <f t="shared" si="9"/>
        <v>0</v>
      </c>
      <c r="H189" s="69"/>
      <c r="I189" s="69"/>
      <c r="J189" s="69"/>
      <c r="K189" s="69"/>
      <c r="L189" s="69"/>
      <c r="M189" s="69"/>
      <c r="N189" s="69"/>
    </row>
    <row r="190" spans="1:14" ht="30" customHeight="1">
      <c r="A190" s="118">
        <v>173</v>
      </c>
      <c r="B190" s="61" t="s">
        <v>108</v>
      </c>
      <c r="C190" s="61" t="s">
        <v>290</v>
      </c>
      <c r="D190" s="61" t="s">
        <v>139</v>
      </c>
      <c r="E190" s="62">
        <v>1</v>
      </c>
      <c r="F190" s="63"/>
      <c r="G190" s="53">
        <f t="shared" si="9"/>
        <v>0</v>
      </c>
      <c r="H190" s="69"/>
      <c r="I190" s="69"/>
      <c r="J190" s="69"/>
      <c r="K190" s="69"/>
      <c r="L190" s="69"/>
      <c r="M190" s="69"/>
      <c r="N190" s="69"/>
    </row>
    <row r="191" spans="1:14" ht="12" customHeight="1">
      <c r="A191" s="118">
        <v>174</v>
      </c>
      <c r="B191" s="65" t="s">
        <v>107</v>
      </c>
      <c r="C191" s="65" t="s">
        <v>261</v>
      </c>
      <c r="D191" s="65" t="s">
        <v>106</v>
      </c>
      <c r="E191" s="66">
        <v>13</v>
      </c>
      <c r="F191" s="53"/>
      <c r="G191" s="53">
        <f t="shared" si="9"/>
        <v>0</v>
      </c>
    </row>
    <row r="192" spans="1:14" ht="12" customHeight="1">
      <c r="A192" s="118">
        <v>175</v>
      </c>
      <c r="B192" s="61" t="s">
        <v>108</v>
      </c>
      <c r="C192" s="61" t="s">
        <v>262</v>
      </c>
      <c r="D192" s="61" t="s">
        <v>106</v>
      </c>
      <c r="E192" s="66">
        <v>13</v>
      </c>
      <c r="F192" s="63"/>
      <c r="G192" s="53">
        <f t="shared" si="9"/>
        <v>0</v>
      </c>
    </row>
    <row r="193" spans="1:14" ht="25.9" customHeight="1">
      <c r="A193" s="118">
        <v>178</v>
      </c>
      <c r="B193" s="371" t="s">
        <v>412</v>
      </c>
      <c r="C193" s="371" t="s">
        <v>411</v>
      </c>
      <c r="D193" s="372"/>
      <c r="E193" s="373"/>
      <c r="F193" s="374"/>
      <c r="G193" s="377">
        <f>SUM(G194:G201)</f>
        <v>0</v>
      </c>
      <c r="H193" s="69"/>
      <c r="I193" s="69"/>
      <c r="J193" s="69"/>
      <c r="K193" s="69"/>
      <c r="L193" s="69"/>
      <c r="M193" s="69"/>
      <c r="N193" s="69"/>
    </row>
    <row r="194" spans="1:14" ht="12.75" customHeight="1">
      <c r="A194" s="118">
        <v>179</v>
      </c>
      <c r="B194" s="169" t="s">
        <v>413</v>
      </c>
      <c r="C194" s="65" t="s">
        <v>421</v>
      </c>
      <c r="D194" s="157" t="s">
        <v>311</v>
      </c>
      <c r="E194" s="53">
        <v>1</v>
      </c>
      <c r="F194" s="53"/>
      <c r="G194" s="53">
        <f>E194*F194</f>
        <v>0</v>
      </c>
    </row>
    <row r="195" spans="1:14" ht="12" customHeight="1">
      <c r="A195" s="118">
        <v>180</v>
      </c>
      <c r="B195" s="169" t="s">
        <v>414</v>
      </c>
      <c r="C195" s="65" t="s">
        <v>407</v>
      </c>
      <c r="D195" s="157" t="s">
        <v>320</v>
      </c>
      <c r="E195" s="53">
        <v>2.5</v>
      </c>
      <c r="F195" s="53"/>
      <c r="G195" s="53">
        <f>E195*F195</f>
        <v>0</v>
      </c>
    </row>
    <row r="196" spans="1:14" ht="12.75" customHeight="1">
      <c r="A196" s="118">
        <v>181</v>
      </c>
      <c r="B196" s="169" t="s">
        <v>415</v>
      </c>
      <c r="C196" s="65" t="s">
        <v>408</v>
      </c>
      <c r="D196" s="157" t="s">
        <v>320</v>
      </c>
      <c r="E196" s="53">
        <v>1.1000000000000001</v>
      </c>
      <c r="F196" s="53"/>
      <c r="G196" s="53">
        <f t="shared" ref="G196:G201" si="10">E196*F196</f>
        <v>0</v>
      </c>
    </row>
    <row r="197" spans="1:14" ht="12.75" customHeight="1">
      <c r="A197" s="118">
        <v>182</v>
      </c>
      <c r="B197" s="169" t="s">
        <v>416</v>
      </c>
      <c r="C197" s="65" t="s">
        <v>409</v>
      </c>
      <c r="D197" s="157" t="s">
        <v>320</v>
      </c>
      <c r="E197" s="53">
        <v>2</v>
      </c>
      <c r="F197" s="53"/>
      <c r="G197" s="53">
        <f t="shared" si="10"/>
        <v>0</v>
      </c>
    </row>
    <row r="198" spans="1:14" ht="12.75" customHeight="1">
      <c r="A198" s="118">
        <v>183</v>
      </c>
      <c r="B198" s="169" t="s">
        <v>417</v>
      </c>
      <c r="C198" s="65" t="s">
        <v>410</v>
      </c>
      <c r="D198" s="157" t="s">
        <v>320</v>
      </c>
      <c r="E198" s="53">
        <v>2.5</v>
      </c>
      <c r="F198" s="53"/>
      <c r="G198" s="53">
        <f t="shared" si="10"/>
        <v>0</v>
      </c>
    </row>
    <row r="199" spans="1:14" ht="24.75" customHeight="1">
      <c r="A199" s="118">
        <v>184</v>
      </c>
      <c r="B199" s="169"/>
      <c r="C199" s="65" t="s">
        <v>427</v>
      </c>
      <c r="D199" s="157" t="s">
        <v>311</v>
      </c>
      <c r="E199" s="53">
        <v>1</v>
      </c>
      <c r="F199" s="53"/>
      <c r="G199" s="53">
        <f t="shared" si="10"/>
        <v>0</v>
      </c>
    </row>
    <row r="200" spans="1:14" ht="25.5" customHeight="1">
      <c r="A200" s="118">
        <v>185</v>
      </c>
      <c r="B200" s="169" t="s">
        <v>429</v>
      </c>
      <c r="C200" s="65" t="s">
        <v>428</v>
      </c>
      <c r="D200" s="157" t="s">
        <v>311</v>
      </c>
      <c r="E200" s="53">
        <v>1</v>
      </c>
      <c r="F200" s="53"/>
      <c r="G200" s="53">
        <f t="shared" si="10"/>
        <v>0</v>
      </c>
    </row>
    <row r="201" spans="1:14" ht="12" customHeight="1">
      <c r="A201" s="118">
        <v>186</v>
      </c>
      <c r="B201" s="169"/>
      <c r="C201" s="65" t="s">
        <v>455</v>
      </c>
      <c r="D201" s="157" t="s">
        <v>311</v>
      </c>
      <c r="E201" s="53">
        <v>1</v>
      </c>
      <c r="F201" s="53"/>
      <c r="G201" s="53">
        <f t="shared" si="10"/>
        <v>0</v>
      </c>
    </row>
  </sheetData>
  <mergeCells count="1">
    <mergeCell ref="A1:N1"/>
  </mergeCells>
  <phoneticPr fontId="0" type="noConversion"/>
  <pageMargins left="0.39370078740157483" right="0.39370078740157483" top="0.39370078740157483" bottom="0.78740157480314965" header="0" footer="0"/>
  <pageSetup paperSize="9" scale="70" fitToHeight="100" orientation="portrait" r:id="rId1"/>
  <headerFooter alignWithMargins="0">
    <oddFooter>&amp;C   Strana &amp;P  z &amp;N</oddFooter>
  </headerFooter>
  <rowBreaks count="4" manualBreakCount="4">
    <brk id="41" max="16383" man="1"/>
    <brk id="83" max="16383" man="1"/>
    <brk id="120" max="16383" man="1"/>
    <brk id="18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0"/>
  <sheetViews>
    <sheetView view="pageBreakPreview" zoomScale="110" zoomScaleSheetLayoutView="110" workbookViewId="0">
      <selection activeCell="G7" sqref="G7:G23"/>
    </sheetView>
  </sheetViews>
  <sheetFormatPr defaultColWidth="9.1640625" defaultRowHeight="12.75"/>
  <cols>
    <col min="1" max="1" width="9.1640625" style="121"/>
    <col min="2" max="2" width="67.33203125" style="122" customWidth="1"/>
    <col min="3" max="3" width="9.1640625" style="121"/>
    <col min="4" max="4" width="12.1640625" style="121" customWidth="1"/>
    <col min="5" max="6" width="14.5" style="121" customWidth="1"/>
    <col min="7" max="7" width="17.5" style="123" customWidth="1"/>
    <col min="8" max="8" width="25.33203125" style="123" customWidth="1"/>
    <col min="9" max="16384" width="9.1640625" style="121"/>
  </cols>
  <sheetData>
    <row r="1" spans="1:8">
      <c r="B1" s="155" t="s">
        <v>313</v>
      </c>
    </row>
    <row r="2" spans="1:8">
      <c r="B2" s="155"/>
    </row>
    <row r="3" spans="1:8">
      <c r="B3" s="155" t="s">
        <v>423</v>
      </c>
    </row>
    <row r="4" spans="1:8" ht="13.5" thickBot="1"/>
    <row r="5" spans="1:8" ht="25.5">
      <c r="A5" s="144" t="s">
        <v>7</v>
      </c>
      <c r="B5" s="145" t="s">
        <v>9</v>
      </c>
      <c r="C5" s="146" t="s">
        <v>10</v>
      </c>
      <c r="D5" s="146" t="s">
        <v>267</v>
      </c>
      <c r="E5" s="146" t="s">
        <v>263</v>
      </c>
      <c r="F5" s="146" t="s">
        <v>264</v>
      </c>
      <c r="G5" s="147" t="s">
        <v>12</v>
      </c>
      <c r="H5" s="148" t="s">
        <v>13</v>
      </c>
    </row>
    <row r="6" spans="1:8">
      <c r="A6" s="154">
        <v>1</v>
      </c>
      <c r="B6" s="125" t="s">
        <v>266</v>
      </c>
      <c r="C6" s="124"/>
      <c r="D6" s="124"/>
      <c r="E6" s="124"/>
      <c r="F6" s="124"/>
      <c r="G6" s="126"/>
      <c r="H6" s="149"/>
    </row>
    <row r="7" spans="1:8">
      <c r="A7" s="153">
        <v>2</v>
      </c>
      <c r="B7" s="128" t="s">
        <v>265</v>
      </c>
      <c r="C7" s="127" t="s">
        <v>139</v>
      </c>
      <c r="D7" s="127">
        <f>'95_F1a'!E150</f>
        <v>2</v>
      </c>
      <c r="E7" s="127">
        <v>2</v>
      </c>
      <c r="F7" s="127">
        <v>3</v>
      </c>
      <c r="G7" s="129"/>
      <c r="H7" s="136">
        <f t="shared" ref="H7:H22" si="0">G7*F7*E7*D7</f>
        <v>0</v>
      </c>
    </row>
    <row r="8" spans="1:8">
      <c r="A8" s="388">
        <v>3</v>
      </c>
      <c r="B8" s="128" t="s">
        <v>851</v>
      </c>
      <c r="C8" s="127" t="s">
        <v>139</v>
      </c>
      <c r="D8" s="127">
        <f>D7</f>
        <v>2</v>
      </c>
      <c r="E8" s="127">
        <v>25</v>
      </c>
      <c r="F8" s="127">
        <v>3</v>
      </c>
      <c r="G8" s="129"/>
      <c r="H8" s="136">
        <f t="shared" si="0"/>
        <v>0</v>
      </c>
    </row>
    <row r="9" spans="1:8">
      <c r="A9" s="153">
        <v>4</v>
      </c>
      <c r="B9" s="128" t="s">
        <v>268</v>
      </c>
      <c r="C9" s="127" t="s">
        <v>139</v>
      </c>
      <c r="D9" s="127">
        <f>D8</f>
        <v>2</v>
      </c>
      <c r="E9" s="127">
        <v>1</v>
      </c>
      <c r="F9" s="127">
        <v>3</v>
      </c>
      <c r="G9" s="129"/>
      <c r="H9" s="136">
        <f t="shared" si="0"/>
        <v>0</v>
      </c>
    </row>
    <row r="10" spans="1:8">
      <c r="A10" s="154">
        <v>5</v>
      </c>
      <c r="B10" s="128" t="s">
        <v>269</v>
      </c>
      <c r="C10" s="127" t="s">
        <v>139</v>
      </c>
      <c r="D10" s="127">
        <f>D7</f>
        <v>2</v>
      </c>
      <c r="E10" s="127">
        <v>4</v>
      </c>
      <c r="F10" s="127">
        <v>3</v>
      </c>
      <c r="G10" s="129"/>
      <c r="H10" s="136">
        <f t="shared" si="0"/>
        <v>0</v>
      </c>
    </row>
    <row r="11" spans="1:8">
      <c r="A11" s="153">
        <v>6</v>
      </c>
      <c r="B11" s="125" t="s">
        <v>270</v>
      </c>
      <c r="C11" s="127"/>
      <c r="D11" s="127"/>
      <c r="E11" s="127"/>
      <c r="F11" s="127"/>
      <c r="G11" s="129"/>
      <c r="H11" s="136"/>
    </row>
    <row r="12" spans="1:8">
      <c r="A12" s="388">
        <v>7</v>
      </c>
      <c r="B12" s="128" t="s">
        <v>850</v>
      </c>
      <c r="C12" s="127" t="s">
        <v>139</v>
      </c>
      <c r="D12" s="127">
        <f>'95_F1a'!E145+'95_F1a'!E146+'95_F1a'!E148</f>
        <v>10</v>
      </c>
      <c r="E12" s="127">
        <v>25</v>
      </c>
      <c r="F12" s="127">
        <v>3</v>
      </c>
      <c r="G12" s="129"/>
      <c r="H12" s="136">
        <f t="shared" si="0"/>
        <v>0</v>
      </c>
    </row>
    <row r="13" spans="1:8">
      <c r="A13" s="153">
        <v>8</v>
      </c>
      <c r="B13" s="130" t="s">
        <v>275</v>
      </c>
      <c r="C13" s="127"/>
      <c r="D13" s="127"/>
      <c r="E13" s="127"/>
      <c r="F13" s="127"/>
      <c r="G13" s="129"/>
      <c r="H13" s="136"/>
    </row>
    <row r="14" spans="1:8">
      <c r="A14" s="154">
        <v>9</v>
      </c>
      <c r="B14" s="128" t="s">
        <v>271</v>
      </c>
      <c r="C14" s="127" t="s">
        <v>40</v>
      </c>
      <c r="D14" s="127">
        <f>'95_F1a'!E179</f>
        <v>555</v>
      </c>
      <c r="E14" s="127">
        <v>5</v>
      </c>
      <c r="F14" s="127">
        <v>3</v>
      </c>
      <c r="G14" s="129"/>
      <c r="H14" s="136">
        <f t="shared" si="0"/>
        <v>0</v>
      </c>
    </row>
    <row r="15" spans="1:8">
      <c r="A15" s="153">
        <v>10</v>
      </c>
      <c r="B15" s="128" t="s">
        <v>272</v>
      </c>
      <c r="C15" s="127" t="s">
        <v>40</v>
      </c>
      <c r="D15" s="127">
        <f>D14</f>
        <v>555</v>
      </c>
      <c r="E15" s="127">
        <v>5</v>
      </c>
      <c r="F15" s="127">
        <v>3</v>
      </c>
      <c r="G15" s="129"/>
      <c r="H15" s="136">
        <f t="shared" si="0"/>
        <v>0</v>
      </c>
    </row>
    <row r="16" spans="1:8">
      <c r="A16" s="154">
        <v>11</v>
      </c>
      <c r="B16" s="128" t="s">
        <v>273</v>
      </c>
      <c r="C16" s="127" t="s">
        <v>40</v>
      </c>
      <c r="D16" s="127">
        <f>D15</f>
        <v>555</v>
      </c>
      <c r="E16" s="127">
        <v>1</v>
      </c>
      <c r="F16" s="127">
        <v>3</v>
      </c>
      <c r="G16" s="129"/>
      <c r="H16" s="136">
        <f t="shared" si="0"/>
        <v>0</v>
      </c>
    </row>
    <row r="17" spans="1:8">
      <c r="A17" s="153">
        <v>12</v>
      </c>
      <c r="B17" s="128" t="s">
        <v>274</v>
      </c>
      <c r="C17" s="127" t="s">
        <v>40</v>
      </c>
      <c r="D17" s="127">
        <f>D16</f>
        <v>555</v>
      </c>
      <c r="E17" s="127">
        <v>50</v>
      </c>
      <c r="F17" s="127">
        <v>3</v>
      </c>
      <c r="G17" s="129"/>
      <c r="H17" s="136">
        <f>G17*F17*E17*D17</f>
        <v>0</v>
      </c>
    </row>
    <row r="18" spans="1:8">
      <c r="A18" s="154">
        <v>13</v>
      </c>
      <c r="B18" s="130" t="s">
        <v>276</v>
      </c>
      <c r="C18" s="127"/>
      <c r="D18" s="127"/>
      <c r="E18" s="127"/>
      <c r="F18" s="127"/>
      <c r="G18" s="129"/>
      <c r="H18" s="136"/>
    </row>
    <row r="19" spans="1:8">
      <c r="A19" s="153">
        <v>14</v>
      </c>
      <c r="B19" s="128" t="s">
        <v>274</v>
      </c>
      <c r="C19" s="127" t="s">
        <v>40</v>
      </c>
      <c r="D19" s="127">
        <f>'95_F1a'!E127</f>
        <v>163</v>
      </c>
      <c r="E19" s="127">
        <v>50</v>
      </c>
      <c r="F19" s="127">
        <v>3</v>
      </c>
      <c r="G19" s="129"/>
      <c r="H19" s="136">
        <f t="shared" si="0"/>
        <v>0</v>
      </c>
    </row>
    <row r="20" spans="1:8">
      <c r="A20" s="388">
        <v>15</v>
      </c>
      <c r="B20" s="128" t="s">
        <v>277</v>
      </c>
      <c r="C20" s="127" t="s">
        <v>40</v>
      </c>
      <c r="D20" s="127">
        <f>D19</f>
        <v>163</v>
      </c>
      <c r="E20" s="127">
        <v>25</v>
      </c>
      <c r="F20" s="127">
        <v>3</v>
      </c>
      <c r="G20" s="129"/>
      <c r="H20" s="136">
        <f t="shared" si="0"/>
        <v>0</v>
      </c>
    </row>
    <row r="21" spans="1:8">
      <c r="A21" s="389">
        <v>16</v>
      </c>
      <c r="B21" s="128" t="s">
        <v>278</v>
      </c>
      <c r="C21" s="127" t="s">
        <v>40</v>
      </c>
      <c r="D21" s="127">
        <f>D19</f>
        <v>163</v>
      </c>
      <c r="E21" s="127">
        <v>5</v>
      </c>
      <c r="F21" s="127">
        <v>3</v>
      </c>
      <c r="G21" s="129"/>
      <c r="H21" s="136">
        <f t="shared" si="0"/>
        <v>0</v>
      </c>
    </row>
    <row r="22" spans="1:8">
      <c r="A22" s="388">
        <v>17</v>
      </c>
      <c r="B22" s="128" t="s">
        <v>279</v>
      </c>
      <c r="C22" s="127" t="s">
        <v>40</v>
      </c>
      <c r="D22" s="127">
        <f>D19</f>
        <v>163</v>
      </c>
      <c r="E22" s="127">
        <v>1</v>
      </c>
      <c r="F22" s="127">
        <v>3</v>
      </c>
      <c r="G22" s="129"/>
      <c r="H22" s="136">
        <f t="shared" si="0"/>
        <v>0</v>
      </c>
    </row>
    <row r="23" spans="1:8" ht="13.5" thickBot="1">
      <c r="A23" s="390">
        <v>18</v>
      </c>
      <c r="B23" s="138" t="s">
        <v>280</v>
      </c>
      <c r="C23" s="139" t="s">
        <v>40</v>
      </c>
      <c r="D23" s="139">
        <f>D19</f>
        <v>163</v>
      </c>
      <c r="E23" s="139">
        <v>1</v>
      </c>
      <c r="F23" s="139">
        <v>3</v>
      </c>
      <c r="G23" s="140"/>
      <c r="H23" s="318">
        <f>G23*F23*E23*D23</f>
        <v>0</v>
      </c>
    </row>
    <row r="24" spans="1:8" ht="13.5" thickBot="1">
      <c r="A24" s="141"/>
      <c r="B24" s="142"/>
      <c r="C24" s="141"/>
      <c r="D24" s="141"/>
      <c r="E24" s="141"/>
      <c r="F24" s="141"/>
      <c r="G24" s="143"/>
      <c r="H24" s="143"/>
    </row>
    <row r="25" spans="1:8">
      <c r="A25" s="131"/>
      <c r="B25" s="132" t="s">
        <v>281</v>
      </c>
      <c r="C25" s="133"/>
      <c r="D25" s="133"/>
      <c r="E25" s="133"/>
      <c r="F25" s="133"/>
      <c r="G25" s="134"/>
      <c r="H25" s="152">
        <f>SUM(H6:H24)</f>
        <v>0</v>
      </c>
    </row>
    <row r="26" spans="1:8">
      <c r="A26" s="135"/>
      <c r="B26" s="128" t="s">
        <v>282</v>
      </c>
      <c r="C26" s="127"/>
      <c r="D26" s="127"/>
      <c r="E26" s="127"/>
      <c r="F26" s="127"/>
      <c r="G26" s="129"/>
      <c r="H26" s="136">
        <f>H25*0.21</f>
        <v>0</v>
      </c>
    </row>
    <row r="27" spans="1:8" ht="13.5" thickBot="1">
      <c r="A27" s="137"/>
      <c r="B27" s="151" t="s">
        <v>283</v>
      </c>
      <c r="C27" s="139"/>
      <c r="D27" s="139"/>
      <c r="E27" s="139"/>
      <c r="F27" s="139"/>
      <c r="G27" s="140"/>
      <c r="H27" s="150">
        <f>SUM(H25:H26)</f>
        <v>0</v>
      </c>
    </row>
    <row r="30" spans="1:8">
      <c r="B30" s="155"/>
    </row>
  </sheetData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13"/>
  <sheetViews>
    <sheetView view="pageBreakPreview" zoomScale="90" zoomScaleNormal="110" zoomScaleSheetLayoutView="90" workbookViewId="0">
      <selection activeCell="E16" sqref="E16:E112"/>
    </sheetView>
  </sheetViews>
  <sheetFormatPr defaultRowHeight="10.5"/>
  <cols>
    <col min="2" max="2" width="68.83203125" customWidth="1"/>
    <col min="3" max="3" width="6.83203125" customWidth="1"/>
    <col min="4" max="4" width="8.1640625" customWidth="1"/>
    <col min="5" max="5" width="19.1640625" style="167" customWidth="1"/>
    <col min="6" max="6" width="21.1640625" customWidth="1"/>
    <col min="10" max="10" width="6.6640625" customWidth="1"/>
    <col min="11" max="11" width="32" customWidth="1"/>
  </cols>
  <sheetData>
    <row r="1" spans="1:14" ht="12.75" customHeight="1">
      <c r="A1" s="403" t="s">
        <v>0</v>
      </c>
      <c r="B1" s="403"/>
      <c r="C1" s="403"/>
      <c r="D1" s="403"/>
      <c r="E1" s="403"/>
      <c r="F1" s="403"/>
      <c r="G1" s="403"/>
      <c r="H1" s="176"/>
      <c r="I1" s="176"/>
      <c r="J1" s="176"/>
      <c r="K1" s="176"/>
      <c r="L1" s="176"/>
      <c r="M1" s="176"/>
      <c r="N1" s="176"/>
    </row>
    <row r="2" spans="1:14" ht="10.5" customHeight="1">
      <c r="A2" s="72" t="s">
        <v>426</v>
      </c>
      <c r="B2" s="73"/>
      <c r="C2" s="73"/>
      <c r="D2" s="73"/>
      <c r="E2" s="166"/>
      <c r="F2" s="73"/>
      <c r="G2" s="73"/>
      <c r="H2" s="73"/>
      <c r="I2" s="73"/>
      <c r="J2" s="73"/>
      <c r="K2" s="73"/>
      <c r="L2" s="73"/>
      <c r="M2" s="73"/>
      <c r="N2" s="156"/>
    </row>
    <row r="3" spans="1:14" ht="20.25" customHeight="1">
      <c r="A3" s="72" t="s">
        <v>1</v>
      </c>
      <c r="B3" s="73"/>
      <c r="C3" s="73"/>
      <c r="D3" s="73"/>
      <c r="E3" s="166"/>
      <c r="F3" s="73"/>
      <c r="G3" s="73"/>
      <c r="H3" s="73"/>
      <c r="I3" s="73"/>
      <c r="J3" s="73"/>
      <c r="K3" s="73"/>
      <c r="L3" s="73"/>
      <c r="M3" s="73"/>
      <c r="N3" s="156"/>
    </row>
    <row r="4" spans="1:14" ht="12.75">
      <c r="A4" s="74"/>
      <c r="B4" s="73"/>
      <c r="C4" s="75"/>
      <c r="D4" s="73"/>
      <c r="E4" s="166"/>
      <c r="F4" s="73"/>
      <c r="G4" s="73"/>
      <c r="H4" s="73"/>
      <c r="I4" s="73"/>
      <c r="J4" s="73"/>
      <c r="K4" s="73"/>
      <c r="L4" s="73"/>
      <c r="M4" s="73"/>
      <c r="N4" s="73"/>
    </row>
    <row r="5" spans="1:14" ht="51.75" customHeight="1">
      <c r="A5" s="76"/>
      <c r="B5" s="77"/>
      <c r="C5" s="78"/>
      <c r="D5" s="77"/>
      <c r="E5" s="85"/>
      <c r="F5" s="85"/>
      <c r="G5" s="86"/>
      <c r="H5" s="86"/>
      <c r="I5" s="85"/>
      <c r="J5" s="85"/>
      <c r="K5" s="85"/>
      <c r="L5" s="85"/>
      <c r="M5" s="85"/>
      <c r="N5" s="85"/>
    </row>
    <row r="6" spans="1:14" ht="12.75">
      <c r="A6" s="82" t="s">
        <v>2</v>
      </c>
      <c r="B6" s="77"/>
      <c r="C6" s="78"/>
      <c r="D6" s="77"/>
      <c r="E6" s="85"/>
      <c r="F6" s="85"/>
      <c r="G6" s="86"/>
      <c r="H6" s="86"/>
      <c r="I6" s="85"/>
      <c r="J6" s="85"/>
      <c r="K6" s="85"/>
      <c r="L6" s="85"/>
      <c r="M6" s="85"/>
      <c r="N6" s="85"/>
    </row>
    <row r="7" spans="1:14" ht="12.75">
      <c r="A7" s="82" t="s">
        <v>3</v>
      </c>
      <c r="B7" s="77"/>
      <c r="C7" s="78"/>
      <c r="D7" s="77"/>
      <c r="E7" s="85"/>
      <c r="F7" s="85"/>
      <c r="G7" s="86"/>
      <c r="H7" s="86"/>
      <c r="I7" s="85"/>
      <c r="J7" s="85"/>
      <c r="K7" s="87"/>
      <c r="L7" s="85"/>
      <c r="M7" s="85"/>
      <c r="N7" s="85"/>
    </row>
    <row r="8" spans="1:14" ht="51" customHeight="1">
      <c r="A8" s="82" t="s">
        <v>5</v>
      </c>
      <c r="B8" s="77"/>
      <c r="C8" s="78"/>
      <c r="D8" s="77"/>
      <c r="E8" s="85"/>
      <c r="F8" s="85"/>
      <c r="G8" s="86"/>
      <c r="H8" s="86"/>
      <c r="I8" s="85"/>
      <c r="J8" s="85"/>
      <c r="K8" s="87"/>
      <c r="L8" s="85"/>
      <c r="M8" s="85"/>
      <c r="N8" s="85"/>
    </row>
    <row r="9" spans="1:14" ht="51" customHeight="1">
      <c r="A9" s="82"/>
      <c r="B9" s="77"/>
      <c r="C9" s="78"/>
      <c r="D9" s="77"/>
      <c r="E9" s="85"/>
      <c r="F9" s="85"/>
      <c r="G9" s="86"/>
      <c r="H9" s="86"/>
      <c r="I9" s="85"/>
      <c r="J9" s="85"/>
      <c r="K9" s="87"/>
      <c r="L9" s="85"/>
      <c r="M9" s="85"/>
      <c r="N9" s="85"/>
    </row>
    <row r="11" spans="1:14" ht="27.75" customHeight="1">
      <c r="A11" s="161" t="s">
        <v>331</v>
      </c>
      <c r="B11" s="163" t="s">
        <v>9</v>
      </c>
      <c r="C11" s="163" t="s">
        <v>321</v>
      </c>
      <c r="D11" s="163" t="s">
        <v>10</v>
      </c>
      <c r="E11" s="164" t="s">
        <v>322</v>
      </c>
      <c r="F11" s="164" t="s">
        <v>330</v>
      </c>
    </row>
    <row r="12" spans="1:14" ht="12.75">
      <c r="A12" s="159"/>
      <c r="B12" s="160"/>
      <c r="C12" s="162"/>
      <c r="D12" s="162"/>
      <c r="E12" s="165"/>
      <c r="F12" s="158"/>
    </row>
    <row r="13" spans="1:14" ht="12.75">
      <c r="A13" s="159"/>
      <c r="B13" s="11" t="s">
        <v>404</v>
      </c>
      <c r="C13" s="162"/>
      <c r="D13" s="162"/>
      <c r="E13" s="165"/>
      <c r="F13" s="90">
        <f>SUM(F16:F112)</f>
        <v>0</v>
      </c>
    </row>
    <row r="14" spans="1:14">
      <c r="A14" s="159"/>
      <c r="B14" s="162"/>
      <c r="C14" s="162"/>
      <c r="D14" s="162"/>
      <c r="E14" s="165"/>
      <c r="F14" s="158"/>
    </row>
    <row r="15" spans="1:14" ht="11.25" customHeight="1">
      <c r="A15" s="162">
        <v>1</v>
      </c>
      <c r="B15" s="160" t="s">
        <v>317</v>
      </c>
      <c r="E15" s="168"/>
    </row>
    <row r="16" spans="1:14" ht="51">
      <c r="A16" s="328">
        <v>2</v>
      </c>
      <c r="B16" s="104" t="s">
        <v>852</v>
      </c>
      <c r="C16" s="104">
        <v>1</v>
      </c>
      <c r="D16" s="104" t="s">
        <v>139</v>
      </c>
      <c r="E16" s="106"/>
      <c r="F16" s="106">
        <f>C16*E16</f>
        <v>0</v>
      </c>
    </row>
    <row r="17" spans="1:6" ht="38.25">
      <c r="A17" s="161">
        <v>3</v>
      </c>
      <c r="B17" s="104" t="s">
        <v>323</v>
      </c>
      <c r="C17" s="104">
        <v>4</v>
      </c>
      <c r="D17" s="104" t="s">
        <v>139</v>
      </c>
      <c r="E17" s="106"/>
      <c r="F17" s="106">
        <f t="shared" ref="F17:F23" si="0">C17*E17</f>
        <v>0</v>
      </c>
    </row>
    <row r="18" spans="1:6" ht="51">
      <c r="A18" s="161">
        <v>4</v>
      </c>
      <c r="B18" s="104" t="s">
        <v>324</v>
      </c>
      <c r="C18" s="104">
        <v>1</v>
      </c>
      <c r="D18" s="104" t="s">
        <v>139</v>
      </c>
      <c r="E18" s="106"/>
      <c r="F18" s="106">
        <f t="shared" si="0"/>
        <v>0</v>
      </c>
    </row>
    <row r="19" spans="1:6" ht="51">
      <c r="A19" s="161">
        <v>5</v>
      </c>
      <c r="B19" s="104" t="s">
        <v>325</v>
      </c>
      <c r="C19" s="104">
        <v>1</v>
      </c>
      <c r="D19" s="104" t="s">
        <v>139</v>
      </c>
      <c r="E19" s="106"/>
      <c r="F19" s="106">
        <f t="shared" si="0"/>
        <v>0</v>
      </c>
    </row>
    <row r="20" spans="1:6" ht="51">
      <c r="A20" s="161">
        <v>6</v>
      </c>
      <c r="B20" s="104" t="s">
        <v>326</v>
      </c>
      <c r="C20" s="104">
        <v>2</v>
      </c>
      <c r="D20" s="104" t="s">
        <v>139</v>
      </c>
      <c r="E20" s="106"/>
      <c r="F20" s="106">
        <f t="shared" si="0"/>
        <v>0</v>
      </c>
    </row>
    <row r="21" spans="1:6" ht="51">
      <c r="A21" s="161">
        <v>7</v>
      </c>
      <c r="B21" s="104" t="s">
        <v>327</v>
      </c>
      <c r="C21" s="104">
        <v>2</v>
      </c>
      <c r="D21" s="104" t="s">
        <v>139</v>
      </c>
      <c r="E21" s="106"/>
      <c r="F21" s="106">
        <f t="shared" si="0"/>
        <v>0</v>
      </c>
    </row>
    <row r="22" spans="1:6" ht="12.75">
      <c r="A22" s="161">
        <v>8</v>
      </c>
      <c r="B22" s="104" t="s">
        <v>328</v>
      </c>
      <c r="C22" s="104">
        <v>1</v>
      </c>
      <c r="D22" s="104" t="s">
        <v>139</v>
      </c>
      <c r="E22" s="106"/>
      <c r="F22" s="106">
        <f t="shared" si="0"/>
        <v>0</v>
      </c>
    </row>
    <row r="23" spans="1:6" ht="12.75">
      <c r="A23" s="161">
        <v>9</v>
      </c>
      <c r="B23" s="104" t="s">
        <v>329</v>
      </c>
      <c r="C23" s="104">
        <v>1</v>
      </c>
      <c r="D23" s="104" t="s">
        <v>139</v>
      </c>
      <c r="E23" s="106"/>
      <c r="F23" s="106">
        <f t="shared" si="0"/>
        <v>0</v>
      </c>
    </row>
    <row r="24" spans="1:6" ht="12.75">
      <c r="A24" s="161">
        <v>10</v>
      </c>
      <c r="B24" s="160" t="s">
        <v>318</v>
      </c>
    </row>
    <row r="25" spans="1:6" ht="38.25">
      <c r="A25" s="161">
        <v>11</v>
      </c>
      <c r="B25" s="104" t="s">
        <v>332</v>
      </c>
      <c r="C25" s="104">
        <v>2</v>
      </c>
      <c r="D25" s="104" t="s">
        <v>139</v>
      </c>
      <c r="E25" s="106"/>
      <c r="F25" s="106">
        <f>C25*E25</f>
        <v>0</v>
      </c>
    </row>
    <row r="26" spans="1:6" ht="51">
      <c r="A26" s="161">
        <v>12</v>
      </c>
      <c r="B26" s="104" t="s">
        <v>326</v>
      </c>
      <c r="C26" s="104">
        <v>2</v>
      </c>
      <c r="D26" s="104" t="s">
        <v>139</v>
      </c>
      <c r="E26" s="106"/>
      <c r="F26" s="106">
        <f t="shared" ref="F26:F57" si="1">C26*E26</f>
        <v>0</v>
      </c>
    </row>
    <row r="27" spans="1:6" ht="38.25">
      <c r="A27" s="161">
        <v>13</v>
      </c>
      <c r="B27" s="104" t="s">
        <v>333</v>
      </c>
      <c r="C27" s="104">
        <v>1</v>
      </c>
      <c r="D27" s="104" t="s">
        <v>252</v>
      </c>
      <c r="E27" s="106"/>
      <c r="F27" s="106">
        <f t="shared" si="1"/>
        <v>0</v>
      </c>
    </row>
    <row r="28" spans="1:6" ht="38.25">
      <c r="A28" s="161">
        <v>14</v>
      </c>
      <c r="B28" s="104" t="s">
        <v>334</v>
      </c>
      <c r="C28" s="104">
        <v>1</v>
      </c>
      <c r="D28" s="104" t="s">
        <v>139</v>
      </c>
      <c r="E28" s="106"/>
      <c r="F28" s="106">
        <f t="shared" si="1"/>
        <v>0</v>
      </c>
    </row>
    <row r="29" spans="1:6" ht="51">
      <c r="A29" s="161">
        <v>15</v>
      </c>
      <c r="B29" s="104" t="s">
        <v>335</v>
      </c>
      <c r="C29" s="104">
        <v>1</v>
      </c>
      <c r="D29" s="104" t="s">
        <v>139</v>
      </c>
      <c r="E29" s="106"/>
      <c r="F29" s="106">
        <f t="shared" si="1"/>
        <v>0</v>
      </c>
    </row>
    <row r="30" spans="1:6" ht="51">
      <c r="A30" s="161">
        <v>16</v>
      </c>
      <c r="B30" s="104" t="s">
        <v>336</v>
      </c>
      <c r="C30" s="104">
        <v>1</v>
      </c>
      <c r="D30" s="104" t="s">
        <v>139</v>
      </c>
      <c r="E30" s="106"/>
      <c r="F30" s="106">
        <f t="shared" si="1"/>
        <v>0</v>
      </c>
    </row>
    <row r="31" spans="1:6" ht="38.25">
      <c r="A31" s="161">
        <v>17</v>
      </c>
      <c r="B31" s="104" t="s">
        <v>337</v>
      </c>
      <c r="C31" s="104">
        <v>1</v>
      </c>
      <c r="D31" s="104" t="s">
        <v>139</v>
      </c>
      <c r="E31" s="106"/>
      <c r="F31" s="106">
        <f t="shared" si="1"/>
        <v>0</v>
      </c>
    </row>
    <row r="32" spans="1:6" ht="38.25">
      <c r="A32" s="161">
        <v>18</v>
      </c>
      <c r="B32" s="104" t="s">
        <v>323</v>
      </c>
      <c r="C32" s="104">
        <v>2</v>
      </c>
      <c r="D32" s="104" t="s">
        <v>139</v>
      </c>
      <c r="E32" s="106"/>
      <c r="F32" s="106">
        <f t="shared" si="1"/>
        <v>0</v>
      </c>
    </row>
    <row r="33" spans="1:6" ht="25.5">
      <c r="A33" s="161">
        <v>19</v>
      </c>
      <c r="B33" s="104" t="s">
        <v>338</v>
      </c>
      <c r="C33" s="104">
        <v>1</v>
      </c>
      <c r="D33" s="104" t="s">
        <v>139</v>
      </c>
      <c r="E33" s="106"/>
      <c r="F33" s="106">
        <f t="shared" si="1"/>
        <v>0</v>
      </c>
    </row>
    <row r="34" spans="1:6" ht="38.25">
      <c r="A34" s="161">
        <v>20</v>
      </c>
      <c r="B34" s="104" t="s">
        <v>332</v>
      </c>
      <c r="C34" s="104">
        <v>6</v>
      </c>
      <c r="D34" s="104" t="s">
        <v>139</v>
      </c>
      <c r="E34" s="106"/>
      <c r="F34" s="106">
        <f t="shared" si="1"/>
        <v>0</v>
      </c>
    </row>
    <row r="35" spans="1:6" ht="38.25">
      <c r="A35" s="161">
        <v>21</v>
      </c>
      <c r="B35" s="104" t="s">
        <v>334</v>
      </c>
      <c r="C35" s="104">
        <v>2</v>
      </c>
      <c r="D35" s="104" t="s">
        <v>139</v>
      </c>
      <c r="E35" s="106"/>
      <c r="F35" s="106">
        <f t="shared" si="1"/>
        <v>0</v>
      </c>
    </row>
    <row r="36" spans="1:6" ht="38.25">
      <c r="A36" s="161">
        <v>22</v>
      </c>
      <c r="B36" s="104" t="s">
        <v>339</v>
      </c>
      <c r="C36" s="104">
        <v>2</v>
      </c>
      <c r="D36" s="104" t="s">
        <v>252</v>
      </c>
      <c r="E36" s="106"/>
      <c r="F36" s="106">
        <f t="shared" si="1"/>
        <v>0</v>
      </c>
    </row>
    <row r="37" spans="1:6" ht="51">
      <c r="A37" s="161">
        <v>23</v>
      </c>
      <c r="B37" s="104" t="s">
        <v>326</v>
      </c>
      <c r="C37" s="104">
        <v>6</v>
      </c>
      <c r="D37" s="104" t="s">
        <v>139</v>
      </c>
      <c r="E37" s="106"/>
      <c r="F37" s="106">
        <f t="shared" si="1"/>
        <v>0</v>
      </c>
    </row>
    <row r="38" spans="1:6" ht="51">
      <c r="A38" s="161">
        <v>24</v>
      </c>
      <c r="B38" s="104" t="s">
        <v>335</v>
      </c>
      <c r="C38" s="104">
        <v>2</v>
      </c>
      <c r="D38" s="104" t="s">
        <v>139</v>
      </c>
      <c r="E38" s="106"/>
      <c r="F38" s="106">
        <f t="shared" si="1"/>
        <v>0</v>
      </c>
    </row>
    <row r="39" spans="1:6" ht="38.25">
      <c r="A39" s="161">
        <v>25</v>
      </c>
      <c r="B39" s="104" t="s">
        <v>337</v>
      </c>
      <c r="C39" s="104">
        <v>2</v>
      </c>
      <c r="D39" s="104" t="s">
        <v>139</v>
      </c>
      <c r="E39" s="106"/>
      <c r="F39" s="106">
        <f t="shared" si="1"/>
        <v>0</v>
      </c>
    </row>
    <row r="40" spans="1:6" ht="38.25">
      <c r="A40" s="161">
        <v>26</v>
      </c>
      <c r="B40" s="104" t="s">
        <v>323</v>
      </c>
      <c r="C40" s="104">
        <v>6</v>
      </c>
      <c r="D40" s="104" t="s">
        <v>139</v>
      </c>
      <c r="E40" s="106"/>
      <c r="F40" s="106">
        <f t="shared" si="1"/>
        <v>0</v>
      </c>
    </row>
    <row r="41" spans="1:6" ht="51">
      <c r="A41" s="161">
        <v>27</v>
      </c>
      <c r="B41" s="104" t="s">
        <v>340</v>
      </c>
      <c r="C41" s="104">
        <v>2</v>
      </c>
      <c r="D41" s="104" t="s">
        <v>139</v>
      </c>
      <c r="E41" s="106"/>
      <c r="F41" s="106">
        <f t="shared" si="1"/>
        <v>0</v>
      </c>
    </row>
    <row r="42" spans="1:6" ht="25.5">
      <c r="A42" s="161">
        <v>28</v>
      </c>
      <c r="B42" s="104" t="s">
        <v>338</v>
      </c>
      <c r="C42" s="104">
        <v>2</v>
      </c>
      <c r="D42" s="104" t="s">
        <v>139</v>
      </c>
      <c r="E42" s="106"/>
      <c r="F42" s="106">
        <f t="shared" si="1"/>
        <v>0</v>
      </c>
    </row>
    <row r="43" spans="1:6" ht="38.25">
      <c r="A43" s="161">
        <v>29</v>
      </c>
      <c r="B43" s="104" t="s">
        <v>405</v>
      </c>
      <c r="C43" s="104">
        <v>1</v>
      </c>
      <c r="D43" s="104" t="s">
        <v>139</v>
      </c>
      <c r="E43" s="106"/>
      <c r="F43" s="106">
        <f t="shared" si="1"/>
        <v>0</v>
      </c>
    </row>
    <row r="44" spans="1:6" ht="12.75">
      <c r="A44" s="161">
        <v>30</v>
      </c>
      <c r="B44" s="104" t="s">
        <v>341</v>
      </c>
      <c r="C44" s="104">
        <v>7</v>
      </c>
      <c r="D44" s="104" t="s">
        <v>139</v>
      </c>
      <c r="E44" s="106"/>
      <c r="F44" s="106">
        <f t="shared" si="1"/>
        <v>0</v>
      </c>
    </row>
    <row r="45" spans="1:6" ht="12.75">
      <c r="A45" s="161">
        <v>31</v>
      </c>
      <c r="B45" s="104" t="s">
        <v>345</v>
      </c>
      <c r="C45" s="104">
        <v>150</v>
      </c>
      <c r="D45" s="104" t="s">
        <v>252</v>
      </c>
      <c r="E45" s="106"/>
      <c r="F45" s="106">
        <f t="shared" si="1"/>
        <v>0</v>
      </c>
    </row>
    <row r="46" spans="1:6" ht="12.75">
      <c r="A46" s="161">
        <v>32</v>
      </c>
      <c r="B46" s="104" t="s">
        <v>342</v>
      </c>
      <c r="C46" s="104">
        <v>150</v>
      </c>
      <c r="D46" s="104" t="s">
        <v>252</v>
      </c>
      <c r="E46" s="106"/>
      <c r="F46" s="106">
        <f t="shared" si="1"/>
        <v>0</v>
      </c>
    </row>
    <row r="47" spans="1:6" ht="12.75">
      <c r="A47" s="161">
        <v>33</v>
      </c>
      <c r="B47" s="104" t="s">
        <v>343</v>
      </c>
      <c r="C47" s="104">
        <v>4</v>
      </c>
      <c r="D47" s="104" t="s">
        <v>139</v>
      </c>
      <c r="E47" s="106"/>
      <c r="F47" s="106">
        <f t="shared" si="1"/>
        <v>0</v>
      </c>
    </row>
    <row r="48" spans="1:6" ht="25.5">
      <c r="A48" s="161">
        <v>34</v>
      </c>
      <c r="B48" s="104" t="s">
        <v>344</v>
      </c>
      <c r="C48" s="104">
        <v>4</v>
      </c>
      <c r="D48" s="104" t="s">
        <v>139</v>
      </c>
      <c r="E48" s="106"/>
      <c r="F48" s="106">
        <f t="shared" si="1"/>
        <v>0</v>
      </c>
    </row>
    <row r="49" spans="1:6" ht="12.75">
      <c r="A49" s="161">
        <v>35</v>
      </c>
      <c r="B49" s="160" t="s">
        <v>319</v>
      </c>
      <c r="F49" s="106">
        <f t="shared" si="1"/>
        <v>0</v>
      </c>
    </row>
    <row r="50" spans="1:6" ht="38.25">
      <c r="A50" s="328">
        <v>36</v>
      </c>
      <c r="B50" s="104" t="s">
        <v>346</v>
      </c>
      <c r="C50" s="104">
        <v>250</v>
      </c>
      <c r="D50" s="104" t="s">
        <v>252</v>
      </c>
      <c r="E50" s="106"/>
      <c r="F50" s="106">
        <f t="shared" si="1"/>
        <v>0</v>
      </c>
    </row>
    <row r="51" spans="1:6" ht="38.25">
      <c r="A51" s="161">
        <v>37</v>
      </c>
      <c r="B51" s="104" t="s">
        <v>347</v>
      </c>
      <c r="C51" s="104">
        <v>10</v>
      </c>
      <c r="D51" s="104" t="s">
        <v>139</v>
      </c>
      <c r="E51" s="106"/>
      <c r="F51" s="106">
        <f t="shared" si="1"/>
        <v>0</v>
      </c>
    </row>
    <row r="52" spans="1:6" ht="38.25">
      <c r="A52" s="161">
        <v>38</v>
      </c>
      <c r="B52" s="104" t="s">
        <v>348</v>
      </c>
      <c r="C52" s="104">
        <v>30</v>
      </c>
      <c r="D52" s="104" t="s">
        <v>139</v>
      </c>
      <c r="E52" s="106"/>
      <c r="F52" s="106">
        <f t="shared" si="1"/>
        <v>0</v>
      </c>
    </row>
    <row r="53" spans="1:6" ht="38.25">
      <c r="A53" s="161">
        <v>39</v>
      </c>
      <c r="B53" s="104" t="s">
        <v>349</v>
      </c>
      <c r="C53" s="104">
        <v>7</v>
      </c>
      <c r="D53" s="104" t="s">
        <v>139</v>
      </c>
      <c r="E53" s="106"/>
      <c r="F53" s="106">
        <f t="shared" si="1"/>
        <v>0</v>
      </c>
    </row>
    <row r="54" spans="1:6" ht="38.25">
      <c r="A54" s="161">
        <v>40</v>
      </c>
      <c r="B54" s="104" t="s">
        <v>350</v>
      </c>
      <c r="C54" s="104">
        <v>2</v>
      </c>
      <c r="D54" s="104" t="s">
        <v>139</v>
      </c>
      <c r="E54" s="106"/>
      <c r="F54" s="106">
        <f t="shared" si="1"/>
        <v>0</v>
      </c>
    </row>
    <row r="55" spans="1:6" ht="12.75">
      <c r="A55" s="328">
        <v>41</v>
      </c>
      <c r="B55" s="104" t="s">
        <v>351</v>
      </c>
      <c r="C55" s="104">
        <v>250</v>
      </c>
      <c r="D55" s="104" t="s">
        <v>252</v>
      </c>
      <c r="E55" s="106"/>
      <c r="F55" s="106">
        <f t="shared" si="1"/>
        <v>0</v>
      </c>
    </row>
    <row r="56" spans="1:6" ht="12.75">
      <c r="A56" s="328">
        <v>42</v>
      </c>
      <c r="B56" s="104" t="s">
        <v>352</v>
      </c>
      <c r="C56" s="104">
        <v>250</v>
      </c>
      <c r="D56" s="104" t="s">
        <v>252</v>
      </c>
      <c r="E56" s="106"/>
      <c r="F56" s="106">
        <f t="shared" si="1"/>
        <v>0</v>
      </c>
    </row>
    <row r="57" spans="1:6" ht="25.5">
      <c r="A57" s="328">
        <v>43</v>
      </c>
      <c r="B57" s="104" t="s">
        <v>353</v>
      </c>
      <c r="C57" s="104">
        <v>250</v>
      </c>
      <c r="D57" s="104" t="s">
        <v>252</v>
      </c>
      <c r="E57" s="106"/>
      <c r="F57" s="106">
        <f t="shared" si="1"/>
        <v>0</v>
      </c>
    </row>
    <row r="58" spans="1:6" ht="12.75">
      <c r="A58" s="161">
        <v>44</v>
      </c>
      <c r="B58" s="160" t="s">
        <v>354</v>
      </c>
    </row>
    <row r="59" spans="1:6" ht="51">
      <c r="A59" s="161">
        <v>45</v>
      </c>
      <c r="B59" s="104" t="s">
        <v>355</v>
      </c>
      <c r="C59" s="104">
        <v>1</v>
      </c>
      <c r="D59" s="104" t="s">
        <v>139</v>
      </c>
      <c r="E59" s="106"/>
      <c r="F59" s="106">
        <f>E59*C59</f>
        <v>0</v>
      </c>
    </row>
    <row r="60" spans="1:6" ht="38.25">
      <c r="A60" s="161">
        <v>46</v>
      </c>
      <c r="B60" s="104" t="s">
        <v>356</v>
      </c>
      <c r="C60" s="104">
        <v>8</v>
      </c>
      <c r="D60" s="104" t="s">
        <v>139</v>
      </c>
      <c r="E60" s="106"/>
      <c r="F60" s="106">
        <f t="shared" ref="F60:F68" si="2">E60*C60</f>
        <v>0</v>
      </c>
    </row>
    <row r="61" spans="1:6" ht="38.25">
      <c r="A61" s="161">
        <v>47</v>
      </c>
      <c r="B61" s="104" t="s">
        <v>357</v>
      </c>
      <c r="C61" s="104">
        <v>8</v>
      </c>
      <c r="D61" s="104" t="s">
        <v>139</v>
      </c>
      <c r="E61" s="106"/>
      <c r="F61" s="106">
        <f t="shared" si="2"/>
        <v>0</v>
      </c>
    </row>
    <row r="62" spans="1:6" ht="51">
      <c r="A62" s="161">
        <v>48</v>
      </c>
      <c r="B62" s="104" t="s">
        <v>358</v>
      </c>
      <c r="C62" s="104">
        <v>8</v>
      </c>
      <c r="D62" s="104" t="s">
        <v>139</v>
      </c>
      <c r="E62" s="106"/>
      <c r="F62" s="106">
        <f t="shared" si="2"/>
        <v>0</v>
      </c>
    </row>
    <row r="63" spans="1:6" ht="51">
      <c r="A63" s="328">
        <v>49</v>
      </c>
      <c r="B63" s="104" t="s">
        <v>359</v>
      </c>
      <c r="C63" s="104">
        <v>11</v>
      </c>
      <c r="D63" s="104" t="s">
        <v>139</v>
      </c>
      <c r="E63" s="106"/>
      <c r="F63" s="106">
        <f t="shared" si="2"/>
        <v>0</v>
      </c>
    </row>
    <row r="64" spans="1:6" ht="25.5">
      <c r="A64" s="161">
        <v>50</v>
      </c>
      <c r="B64" s="104" t="s">
        <v>360</v>
      </c>
      <c r="C64" s="104">
        <v>8</v>
      </c>
      <c r="D64" s="104" t="s">
        <v>139</v>
      </c>
      <c r="E64" s="106"/>
      <c r="F64" s="106">
        <f t="shared" si="2"/>
        <v>0</v>
      </c>
    </row>
    <row r="65" spans="1:6" ht="25.5">
      <c r="A65" s="161">
        <v>51</v>
      </c>
      <c r="B65" s="104" t="s">
        <v>361</v>
      </c>
      <c r="C65" s="104">
        <v>8</v>
      </c>
      <c r="D65" s="104" t="s">
        <v>139</v>
      </c>
      <c r="E65" s="106"/>
      <c r="F65" s="106">
        <f t="shared" si="2"/>
        <v>0</v>
      </c>
    </row>
    <row r="66" spans="1:6" ht="12.75">
      <c r="A66" s="161">
        <v>52</v>
      </c>
      <c r="B66" s="104" t="s">
        <v>362</v>
      </c>
      <c r="C66" s="104">
        <v>8</v>
      </c>
      <c r="D66" s="104" t="s">
        <v>139</v>
      </c>
      <c r="E66" s="106"/>
      <c r="F66" s="106">
        <f t="shared" si="2"/>
        <v>0</v>
      </c>
    </row>
    <row r="67" spans="1:6" ht="12.75">
      <c r="A67" s="161">
        <v>53</v>
      </c>
      <c r="B67" s="104" t="s">
        <v>363</v>
      </c>
      <c r="C67" s="104">
        <v>8</v>
      </c>
      <c r="D67" s="104" t="s">
        <v>139</v>
      </c>
      <c r="E67" s="106"/>
      <c r="F67" s="106">
        <f t="shared" si="2"/>
        <v>0</v>
      </c>
    </row>
    <row r="68" spans="1:6" ht="25.5">
      <c r="A68" s="161">
        <v>54</v>
      </c>
      <c r="B68" s="104" t="s">
        <v>364</v>
      </c>
      <c r="C68" s="104">
        <v>8</v>
      </c>
      <c r="D68" s="104" t="s">
        <v>139</v>
      </c>
      <c r="E68" s="106"/>
      <c r="F68" s="106">
        <f t="shared" si="2"/>
        <v>0</v>
      </c>
    </row>
    <row r="69" spans="1:6" ht="12.75">
      <c r="A69" s="161">
        <v>55</v>
      </c>
      <c r="B69" s="160" t="s">
        <v>365</v>
      </c>
    </row>
    <row r="70" spans="1:6" ht="38.25">
      <c r="A70" s="161">
        <v>56</v>
      </c>
      <c r="B70" s="104" t="s">
        <v>348</v>
      </c>
      <c r="C70" s="104">
        <v>5</v>
      </c>
      <c r="D70" s="104" t="s">
        <v>139</v>
      </c>
      <c r="E70" s="106"/>
      <c r="F70" s="106">
        <f>E70*C70</f>
        <v>0</v>
      </c>
    </row>
    <row r="71" spans="1:6" ht="51">
      <c r="A71" s="161">
        <v>57</v>
      </c>
      <c r="B71" s="104" t="s">
        <v>327</v>
      </c>
      <c r="C71" s="104">
        <v>5</v>
      </c>
      <c r="D71" s="104" t="s">
        <v>139</v>
      </c>
      <c r="E71" s="106"/>
      <c r="F71" s="106">
        <f t="shared" ref="F71:F81" si="3">E71*C71</f>
        <v>0</v>
      </c>
    </row>
    <row r="72" spans="1:6" ht="38.25">
      <c r="A72" s="161">
        <v>58</v>
      </c>
      <c r="B72" s="104" t="s">
        <v>366</v>
      </c>
      <c r="C72" s="104">
        <v>800</v>
      </c>
      <c r="D72" s="104" t="s">
        <v>252</v>
      </c>
      <c r="E72" s="106"/>
      <c r="F72" s="106">
        <f t="shared" si="3"/>
        <v>0</v>
      </c>
    </row>
    <row r="73" spans="1:6" ht="25.5">
      <c r="A73" s="161">
        <v>59</v>
      </c>
      <c r="B73" s="104" t="s">
        <v>368</v>
      </c>
      <c r="C73" s="104">
        <v>30</v>
      </c>
      <c r="D73" s="104" t="s">
        <v>139</v>
      </c>
      <c r="E73" s="106"/>
      <c r="F73" s="106">
        <f t="shared" si="3"/>
        <v>0</v>
      </c>
    </row>
    <row r="74" spans="1:6" ht="25.5">
      <c r="A74" s="161">
        <v>60</v>
      </c>
      <c r="B74" s="104" t="s">
        <v>367</v>
      </c>
      <c r="C74" s="104">
        <v>50</v>
      </c>
      <c r="D74" s="104" t="s">
        <v>139</v>
      </c>
      <c r="E74" s="106"/>
      <c r="F74" s="106">
        <f t="shared" si="3"/>
        <v>0</v>
      </c>
    </row>
    <row r="75" spans="1:6" ht="25.5">
      <c r="A75" s="161">
        <v>61</v>
      </c>
      <c r="B75" s="104" t="s">
        <v>369</v>
      </c>
      <c r="C75" s="104">
        <v>30</v>
      </c>
      <c r="D75" s="104" t="s">
        <v>139</v>
      </c>
      <c r="E75" s="106"/>
      <c r="F75" s="106">
        <f t="shared" si="3"/>
        <v>0</v>
      </c>
    </row>
    <row r="76" spans="1:6" ht="38.25">
      <c r="A76" s="161">
        <v>62</v>
      </c>
      <c r="B76" s="104" t="s">
        <v>370</v>
      </c>
      <c r="C76" s="104">
        <v>220</v>
      </c>
      <c r="D76" s="104" t="s">
        <v>139</v>
      </c>
      <c r="E76" s="106"/>
      <c r="F76" s="106">
        <f t="shared" si="3"/>
        <v>0</v>
      </c>
    </row>
    <row r="77" spans="1:6" ht="38.25">
      <c r="A77" s="161">
        <v>63</v>
      </c>
      <c r="B77" s="104" t="s">
        <v>371</v>
      </c>
      <c r="C77" s="104">
        <v>750</v>
      </c>
      <c r="D77" s="104" t="s">
        <v>139</v>
      </c>
      <c r="E77" s="106"/>
      <c r="F77" s="106">
        <f t="shared" si="3"/>
        <v>0</v>
      </c>
    </row>
    <row r="78" spans="1:6" ht="38.25">
      <c r="A78" s="161">
        <v>64</v>
      </c>
      <c r="B78" s="104" t="s">
        <v>372</v>
      </c>
      <c r="C78" s="104">
        <v>5</v>
      </c>
      <c r="D78" s="104" t="s">
        <v>139</v>
      </c>
      <c r="E78" s="106"/>
      <c r="F78" s="106">
        <f t="shared" si="3"/>
        <v>0</v>
      </c>
    </row>
    <row r="79" spans="1:6" ht="38.25">
      <c r="A79" s="161">
        <v>65</v>
      </c>
      <c r="B79" s="104" t="s">
        <v>373</v>
      </c>
      <c r="C79" s="104">
        <v>50</v>
      </c>
      <c r="D79" s="104" t="s">
        <v>252</v>
      </c>
      <c r="E79" s="106"/>
      <c r="F79" s="106">
        <f t="shared" si="3"/>
        <v>0</v>
      </c>
    </row>
    <row r="80" spans="1:6" ht="25.5">
      <c r="A80" s="161">
        <v>66</v>
      </c>
      <c r="B80" s="104" t="s">
        <v>374</v>
      </c>
      <c r="C80" s="104">
        <v>800</v>
      </c>
      <c r="D80" s="104" t="s">
        <v>252</v>
      </c>
      <c r="E80" s="106"/>
      <c r="F80" s="106">
        <f t="shared" si="3"/>
        <v>0</v>
      </c>
    </row>
    <row r="81" spans="1:6" ht="12.75">
      <c r="A81" s="161">
        <v>67</v>
      </c>
      <c r="B81" s="104" t="s">
        <v>375</v>
      </c>
      <c r="C81" s="104">
        <v>750</v>
      </c>
      <c r="D81" s="104" t="s">
        <v>139</v>
      </c>
      <c r="E81" s="106"/>
      <c r="F81" s="106">
        <f t="shared" si="3"/>
        <v>0</v>
      </c>
    </row>
    <row r="82" spans="1:6" ht="12.75">
      <c r="B82" s="160" t="s">
        <v>376</v>
      </c>
    </row>
    <row r="83" spans="1:6" ht="12.75">
      <c r="A83" s="161"/>
      <c r="B83" s="104" t="s">
        <v>377</v>
      </c>
      <c r="C83" s="104">
        <v>1</v>
      </c>
      <c r="D83" s="104" t="s">
        <v>139</v>
      </c>
      <c r="E83" s="106"/>
      <c r="F83" s="106">
        <f>E83*C83</f>
        <v>0</v>
      </c>
    </row>
    <row r="84" spans="1:6" ht="12.75">
      <c r="A84" s="161"/>
      <c r="B84" s="104" t="s">
        <v>378</v>
      </c>
      <c r="C84" s="104">
        <v>1</v>
      </c>
      <c r="D84" s="104" t="s">
        <v>139</v>
      </c>
      <c r="E84" s="106"/>
      <c r="F84" s="106">
        <f t="shared" ref="F84:F93" si="4">E84*C84</f>
        <v>0</v>
      </c>
    </row>
    <row r="85" spans="1:6" ht="38.25">
      <c r="A85" s="161"/>
      <c r="B85" s="104" t="s">
        <v>379</v>
      </c>
      <c r="C85" s="104">
        <v>1</v>
      </c>
      <c r="D85" s="104" t="s">
        <v>139</v>
      </c>
      <c r="E85" s="106"/>
      <c r="F85" s="106">
        <f t="shared" si="4"/>
        <v>0</v>
      </c>
    </row>
    <row r="86" spans="1:6" ht="25.5">
      <c r="A86" s="161"/>
      <c r="B86" s="104" t="s">
        <v>380</v>
      </c>
      <c r="C86" s="104">
        <v>1</v>
      </c>
      <c r="D86" s="104" t="s">
        <v>139</v>
      </c>
      <c r="E86" s="106"/>
      <c r="F86" s="106">
        <f t="shared" si="4"/>
        <v>0</v>
      </c>
    </row>
    <row r="87" spans="1:6" ht="51">
      <c r="A87" s="161"/>
      <c r="B87" s="104" t="s">
        <v>335</v>
      </c>
      <c r="C87" s="104">
        <v>2</v>
      </c>
      <c r="D87" s="104" t="s">
        <v>139</v>
      </c>
      <c r="E87" s="106"/>
      <c r="F87" s="106">
        <f t="shared" si="4"/>
        <v>0</v>
      </c>
    </row>
    <row r="88" spans="1:6" ht="51">
      <c r="A88" s="161"/>
      <c r="B88" s="104" t="s">
        <v>381</v>
      </c>
      <c r="C88" s="104">
        <v>1</v>
      </c>
      <c r="D88" s="104" t="s">
        <v>139</v>
      </c>
      <c r="E88" s="106"/>
      <c r="F88" s="106">
        <f t="shared" si="4"/>
        <v>0</v>
      </c>
    </row>
    <row r="89" spans="1:6" ht="38.25">
      <c r="A89" s="161"/>
      <c r="B89" s="104" t="s">
        <v>382</v>
      </c>
      <c r="C89" s="104">
        <v>1</v>
      </c>
      <c r="D89" s="104" t="s">
        <v>139</v>
      </c>
      <c r="E89" s="106"/>
      <c r="F89" s="106">
        <f t="shared" si="4"/>
        <v>0</v>
      </c>
    </row>
    <row r="90" spans="1:6" ht="38.25">
      <c r="A90" s="161"/>
      <c r="B90" s="104" t="s">
        <v>383</v>
      </c>
      <c r="C90" s="104">
        <v>1</v>
      </c>
      <c r="D90" s="104" t="s">
        <v>139</v>
      </c>
      <c r="E90" s="106"/>
      <c r="F90" s="106">
        <f t="shared" si="4"/>
        <v>0</v>
      </c>
    </row>
    <row r="91" spans="1:6" ht="38.25">
      <c r="A91" s="161"/>
      <c r="B91" s="104" t="s">
        <v>384</v>
      </c>
      <c r="C91" s="104">
        <v>2</v>
      </c>
      <c r="D91" s="104" t="s">
        <v>139</v>
      </c>
      <c r="E91" s="106"/>
      <c r="F91" s="106">
        <f t="shared" si="4"/>
        <v>0</v>
      </c>
    </row>
    <row r="92" spans="1:6" ht="12.75">
      <c r="A92" s="161"/>
      <c r="B92" s="104" t="s">
        <v>385</v>
      </c>
      <c r="C92" s="104">
        <v>1</v>
      </c>
      <c r="D92" s="104" t="s">
        <v>139</v>
      </c>
      <c r="E92" s="106"/>
      <c r="F92" s="106">
        <f t="shared" si="4"/>
        <v>0</v>
      </c>
    </row>
    <row r="93" spans="1:6" ht="12.75">
      <c r="A93" s="161"/>
      <c r="B93" s="104" t="s">
        <v>386</v>
      </c>
      <c r="C93" s="104">
        <v>1</v>
      </c>
      <c r="D93" s="104" t="s">
        <v>388</v>
      </c>
      <c r="E93" s="106"/>
      <c r="F93" s="106">
        <f t="shared" si="4"/>
        <v>0</v>
      </c>
    </row>
    <row r="94" spans="1:6" ht="12.75">
      <c r="B94" s="160" t="s">
        <v>387</v>
      </c>
    </row>
    <row r="95" spans="1:6" ht="38.25">
      <c r="A95" s="161"/>
      <c r="B95" s="104" t="s">
        <v>333</v>
      </c>
      <c r="C95" s="104">
        <v>100</v>
      </c>
      <c r="D95" s="104" t="s">
        <v>252</v>
      </c>
      <c r="E95" s="106"/>
      <c r="F95" s="106">
        <f>E95*C95</f>
        <v>0</v>
      </c>
    </row>
    <row r="96" spans="1:6" ht="38.25">
      <c r="A96" s="161"/>
      <c r="B96" s="104" t="s">
        <v>339</v>
      </c>
      <c r="C96" s="104">
        <v>100</v>
      </c>
      <c r="D96" s="104" t="s">
        <v>252</v>
      </c>
      <c r="E96" s="106"/>
      <c r="F96" s="106">
        <f t="shared" ref="F96:F100" si="5">E96*C96</f>
        <v>0</v>
      </c>
    </row>
    <row r="97" spans="1:7" ht="38.25">
      <c r="A97" s="161"/>
      <c r="B97" s="104" t="s">
        <v>389</v>
      </c>
      <c r="C97" s="104">
        <v>50</v>
      </c>
      <c r="D97" s="104" t="s">
        <v>252</v>
      </c>
      <c r="E97" s="106"/>
      <c r="F97" s="106">
        <f t="shared" si="5"/>
        <v>0</v>
      </c>
    </row>
    <row r="98" spans="1:7" ht="38.25">
      <c r="A98" s="161"/>
      <c r="B98" s="104" t="s">
        <v>390</v>
      </c>
      <c r="C98" s="104">
        <v>150</v>
      </c>
      <c r="D98" s="104" t="s">
        <v>252</v>
      </c>
      <c r="E98" s="106"/>
      <c r="F98" s="106">
        <f t="shared" si="5"/>
        <v>0</v>
      </c>
    </row>
    <row r="99" spans="1:7" ht="38.25">
      <c r="A99" s="161"/>
      <c r="B99" s="104" t="s">
        <v>391</v>
      </c>
      <c r="C99" s="104">
        <v>50</v>
      </c>
      <c r="D99" s="104" t="s">
        <v>252</v>
      </c>
      <c r="E99" s="106"/>
      <c r="F99" s="106">
        <f t="shared" si="5"/>
        <v>0</v>
      </c>
    </row>
    <row r="100" spans="1:7" ht="25.5">
      <c r="A100" s="161"/>
      <c r="B100" s="104" t="s">
        <v>392</v>
      </c>
      <c r="C100" s="104">
        <v>3</v>
      </c>
      <c r="D100" s="104" t="s">
        <v>388</v>
      </c>
      <c r="E100" s="106"/>
      <c r="F100" s="106">
        <f t="shared" si="5"/>
        <v>0</v>
      </c>
    </row>
    <row r="101" spans="1:7" ht="12.75">
      <c r="B101" s="160" t="s">
        <v>395</v>
      </c>
    </row>
    <row r="102" spans="1:7" ht="38.25">
      <c r="A102" s="161"/>
      <c r="B102" s="104" t="s">
        <v>393</v>
      </c>
      <c r="C102" s="104">
        <v>5</v>
      </c>
      <c r="D102" s="104" t="s">
        <v>139</v>
      </c>
      <c r="E102" s="106"/>
      <c r="F102" s="106">
        <f>E102*C102</f>
        <v>0</v>
      </c>
    </row>
    <row r="103" spans="1:7" ht="25.5">
      <c r="A103" s="161"/>
      <c r="B103" s="104" t="s">
        <v>394</v>
      </c>
      <c r="C103" s="104">
        <v>1</v>
      </c>
      <c r="D103" s="104" t="s">
        <v>139</v>
      </c>
      <c r="E103" s="106"/>
      <c r="F103" s="106">
        <f>E103*C103</f>
        <v>0</v>
      </c>
    </row>
    <row r="104" spans="1:7" ht="12.75">
      <c r="B104" s="160" t="s">
        <v>396</v>
      </c>
    </row>
    <row r="105" spans="1:7" ht="12.75">
      <c r="A105" s="161"/>
      <c r="B105" s="104" t="s">
        <v>397</v>
      </c>
      <c r="C105" s="104">
        <v>7</v>
      </c>
      <c r="D105" s="104" t="s">
        <v>403</v>
      </c>
      <c r="E105" s="106"/>
      <c r="F105" s="106">
        <f>E105*C105</f>
        <v>0</v>
      </c>
    </row>
    <row r="106" spans="1:7" ht="12.75">
      <c r="A106" s="161"/>
      <c r="B106" s="104" t="s">
        <v>398</v>
      </c>
      <c r="C106" s="104">
        <v>7</v>
      </c>
      <c r="D106" s="104" t="s">
        <v>403</v>
      </c>
      <c r="E106" s="106"/>
      <c r="F106" s="106">
        <f t="shared" ref="F106:F109" si="6">E106*C106</f>
        <v>0</v>
      </c>
    </row>
    <row r="107" spans="1:7" ht="12.75">
      <c r="A107" s="161"/>
      <c r="B107" s="104" t="s">
        <v>399</v>
      </c>
      <c r="C107" s="104">
        <v>7</v>
      </c>
      <c r="D107" s="104" t="s">
        <v>403</v>
      </c>
      <c r="E107" s="106"/>
      <c r="F107" s="106">
        <f t="shared" si="6"/>
        <v>0</v>
      </c>
    </row>
    <row r="108" spans="1:7" ht="25.5">
      <c r="A108" s="161"/>
      <c r="B108" s="104" t="s">
        <v>400</v>
      </c>
      <c r="C108" s="104">
        <v>7</v>
      </c>
      <c r="D108" s="104" t="s">
        <v>403</v>
      </c>
      <c r="E108" s="106"/>
      <c r="F108" s="106">
        <f t="shared" si="6"/>
        <v>0</v>
      </c>
    </row>
    <row r="109" spans="1:7" ht="12.75">
      <c r="A109" s="161"/>
      <c r="B109" s="104" t="s">
        <v>401</v>
      </c>
      <c r="C109" s="104">
        <v>1</v>
      </c>
      <c r="D109" s="104" t="s">
        <v>388</v>
      </c>
      <c r="E109" s="106"/>
      <c r="F109" s="106">
        <f t="shared" si="6"/>
        <v>0</v>
      </c>
    </row>
    <row r="110" spans="1:7" ht="12.75">
      <c r="A110" s="161"/>
      <c r="B110" s="104" t="s">
        <v>402</v>
      </c>
      <c r="C110" s="104">
        <v>50</v>
      </c>
      <c r="D110" s="104" t="s">
        <v>252</v>
      </c>
      <c r="E110" s="106"/>
      <c r="F110" s="332">
        <f>E110*C110</f>
        <v>0</v>
      </c>
      <c r="G110" s="333"/>
    </row>
    <row r="111" spans="1:7" ht="38.25">
      <c r="A111" s="328"/>
      <c r="B111" s="104" t="s">
        <v>848</v>
      </c>
      <c r="C111" s="104">
        <v>1</v>
      </c>
      <c r="D111" s="104" t="s">
        <v>109</v>
      </c>
      <c r="E111" s="106"/>
      <c r="F111" s="332">
        <f t="shared" ref="F111:F112" si="7">E111*C111</f>
        <v>0</v>
      </c>
      <c r="G111" s="334"/>
    </row>
    <row r="112" spans="1:7" ht="12.75">
      <c r="A112" s="328"/>
      <c r="B112" s="104" t="s">
        <v>837</v>
      </c>
      <c r="C112" s="104">
        <v>1</v>
      </c>
      <c r="D112" s="104" t="s">
        <v>40</v>
      </c>
      <c r="E112" s="106"/>
      <c r="F112" s="332">
        <f t="shared" si="7"/>
        <v>0</v>
      </c>
      <c r="G112" s="334"/>
    </row>
    <row r="113" spans="1:6" ht="12.75">
      <c r="A113" s="331"/>
      <c r="B113" s="329"/>
      <c r="C113" s="329"/>
      <c r="D113" s="329"/>
      <c r="E113" s="330"/>
      <c r="F113" s="330"/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scale="75" orientation="portrait" r:id="rId1"/>
  <rowBreaks count="3" manualBreakCount="3">
    <brk id="30" max="6" man="1"/>
    <brk id="58" max="6" man="1"/>
    <brk id="82" max="6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4:BM244"/>
  <sheetViews>
    <sheetView tabSelected="1" topLeftCell="A232" workbookViewId="0">
      <selection activeCell="W239" sqref="W239"/>
    </sheetView>
  </sheetViews>
  <sheetFormatPr defaultRowHeight="10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" hidden="1" customWidth="1"/>
    <col min="12" max="12" width="9.33203125" customWidth="1"/>
    <col min="13" max="20" width="0" hidden="1" customWidth="1"/>
  </cols>
  <sheetData>
    <row r="4" spans="1:31" s="198" customFormat="1"/>
    <row r="5" spans="1:31" s="198" customFormat="1"/>
    <row r="6" spans="1:31" s="203" customFormat="1" ht="6.95" customHeight="1">
      <c r="A6" s="199"/>
      <c r="B6" s="200"/>
      <c r="C6" s="201"/>
      <c r="D6" s="201"/>
      <c r="E6" s="201"/>
      <c r="F6" s="201"/>
      <c r="G6" s="201"/>
      <c r="H6" s="201"/>
      <c r="I6" s="201"/>
      <c r="J6" s="201"/>
      <c r="K6" s="201"/>
      <c r="L6" s="202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</row>
    <row r="7" spans="1:31" s="203" customFormat="1" ht="24.95" customHeight="1">
      <c r="A7" s="199"/>
      <c r="B7" s="204"/>
      <c r="C7" s="205" t="s">
        <v>497</v>
      </c>
      <c r="D7" s="199"/>
      <c r="E7" s="199"/>
      <c r="F7" s="199"/>
      <c r="G7" s="199"/>
      <c r="H7" s="199"/>
      <c r="I7" s="199"/>
      <c r="J7" s="199"/>
      <c r="K7" s="199"/>
      <c r="L7" s="202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</row>
    <row r="8" spans="1:31" s="203" customFormat="1" ht="6.95" customHeight="1">
      <c r="A8" s="199"/>
      <c r="B8" s="204"/>
      <c r="C8" s="199"/>
      <c r="D8" s="199"/>
      <c r="E8" s="199"/>
      <c r="F8" s="199"/>
      <c r="G8" s="199"/>
      <c r="H8" s="199"/>
      <c r="I8" s="199"/>
      <c r="J8" s="199"/>
      <c r="K8" s="199"/>
      <c r="L8" s="202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31" s="203" customFormat="1" ht="12" customHeight="1">
      <c r="A9" s="199"/>
      <c r="B9" s="204"/>
      <c r="C9" s="206" t="s">
        <v>212</v>
      </c>
      <c r="D9" s="199"/>
      <c r="E9" s="199"/>
      <c r="F9" s="199"/>
      <c r="G9" s="199"/>
      <c r="H9" s="199"/>
      <c r="I9" s="199"/>
      <c r="J9" s="199"/>
      <c r="K9" s="199"/>
      <c r="L9" s="202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31" s="203" customFormat="1" ht="26.25" customHeight="1">
      <c r="A10" s="199"/>
      <c r="B10" s="204"/>
      <c r="C10" s="199"/>
      <c r="D10" s="199"/>
      <c r="E10" s="404" t="s">
        <v>498</v>
      </c>
      <c r="F10" s="405"/>
      <c r="G10" s="405"/>
      <c r="H10" s="405"/>
      <c r="I10" s="199"/>
      <c r="J10" s="199"/>
      <c r="K10" s="199"/>
      <c r="L10" s="202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31" s="203" customFormat="1" ht="12" customHeight="1">
      <c r="A11" s="199"/>
      <c r="B11" s="204"/>
      <c r="C11" s="206" t="s">
        <v>213</v>
      </c>
      <c r="D11" s="199"/>
      <c r="E11" s="199"/>
      <c r="F11" s="199"/>
      <c r="G11" s="199"/>
      <c r="H11" s="199"/>
      <c r="I11" s="199"/>
      <c r="J11" s="199"/>
      <c r="K11" s="199"/>
      <c r="L11" s="202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31" s="203" customFormat="1" ht="16.5" customHeight="1">
      <c r="A12" s="199"/>
      <c r="B12" s="204"/>
      <c r="C12" s="199"/>
      <c r="D12" s="199"/>
      <c r="E12" s="406"/>
      <c r="F12" s="407"/>
      <c r="G12" s="407"/>
      <c r="H12" s="407"/>
      <c r="I12" s="199"/>
      <c r="J12" s="199"/>
      <c r="K12" s="199"/>
      <c r="L12" s="202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31" s="203" customFormat="1" ht="6.95" customHeight="1">
      <c r="A13" s="199"/>
      <c r="B13" s="204"/>
      <c r="C13" s="199"/>
      <c r="D13" s="199"/>
      <c r="E13" s="199"/>
      <c r="F13" s="199"/>
      <c r="G13" s="199"/>
      <c r="H13" s="199"/>
      <c r="I13" s="199"/>
      <c r="J13" s="199"/>
      <c r="K13" s="199"/>
      <c r="L13" s="202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31" s="203" customFormat="1" ht="12" customHeight="1">
      <c r="A14" s="199"/>
      <c r="B14" s="204"/>
      <c r="C14" s="206" t="s">
        <v>214</v>
      </c>
      <c r="D14" s="199"/>
      <c r="E14" s="199"/>
      <c r="F14" s="207" t="s">
        <v>499</v>
      </c>
      <c r="G14" s="199"/>
      <c r="H14" s="199"/>
      <c r="I14" s="206" t="s">
        <v>215</v>
      </c>
      <c r="J14" s="208">
        <v>44365</v>
      </c>
      <c r="K14" s="199"/>
      <c r="L14" s="202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31" s="203" customFormat="1" ht="6.95" customHeight="1">
      <c r="A15" s="199"/>
      <c r="B15" s="204"/>
      <c r="C15" s="199"/>
      <c r="D15" s="199"/>
      <c r="E15" s="199"/>
      <c r="F15" s="199"/>
      <c r="G15" s="199"/>
      <c r="H15" s="199"/>
      <c r="I15" s="199"/>
      <c r="J15" s="199"/>
      <c r="K15" s="199"/>
      <c r="L15" s="202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31" s="203" customFormat="1" ht="15.2" customHeight="1">
      <c r="A16" s="199"/>
      <c r="B16" s="204"/>
      <c r="C16" s="206" t="s">
        <v>500</v>
      </c>
      <c r="D16" s="199"/>
      <c r="E16" s="199"/>
      <c r="F16" s="207"/>
      <c r="G16" s="199"/>
      <c r="H16" s="199"/>
      <c r="I16" s="206" t="s">
        <v>217</v>
      </c>
      <c r="J16" s="209"/>
      <c r="K16" s="199"/>
      <c r="L16" s="202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47" s="203" customFormat="1" ht="15.2" customHeight="1">
      <c r="A17" s="199"/>
      <c r="B17" s="204"/>
      <c r="C17" s="206" t="s">
        <v>218</v>
      </c>
      <c r="D17" s="199"/>
      <c r="E17" s="199"/>
      <c r="F17" s="207"/>
      <c r="G17" s="199"/>
      <c r="H17" s="199"/>
      <c r="I17" s="206" t="s">
        <v>219</v>
      </c>
      <c r="J17" s="209"/>
      <c r="K17" s="199"/>
      <c r="L17" s="202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47" s="203" customFormat="1" ht="10.35" customHeight="1">
      <c r="A18" s="199"/>
      <c r="B18" s="204"/>
      <c r="C18" s="199"/>
      <c r="D18" s="199"/>
      <c r="E18" s="199"/>
      <c r="F18" s="199"/>
      <c r="G18" s="199"/>
      <c r="H18" s="199"/>
      <c r="I18" s="199"/>
      <c r="J18" s="199"/>
      <c r="K18" s="199"/>
      <c r="L18" s="202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47" s="203" customFormat="1" ht="29.25" customHeight="1">
      <c r="A19" s="199"/>
      <c r="B19" s="204"/>
      <c r="C19" s="210" t="s">
        <v>501</v>
      </c>
      <c r="D19" s="211"/>
      <c r="E19" s="211"/>
      <c r="F19" s="211"/>
      <c r="G19" s="211"/>
      <c r="H19" s="211"/>
      <c r="I19" s="211"/>
      <c r="J19" s="212" t="s">
        <v>502</v>
      </c>
      <c r="K19" s="211"/>
      <c r="L19" s="202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47" s="203" customFormat="1" ht="10.35" customHeight="1">
      <c r="A20" s="199"/>
      <c r="B20" s="204"/>
      <c r="C20" s="199"/>
      <c r="D20" s="199"/>
      <c r="E20" s="199"/>
      <c r="F20" s="199"/>
      <c r="G20" s="199"/>
      <c r="H20" s="199"/>
      <c r="I20" s="199"/>
      <c r="J20" s="199"/>
      <c r="K20" s="199"/>
      <c r="L20" s="202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47" s="203" customFormat="1" ht="22.9" customHeight="1">
      <c r="A21" s="199"/>
      <c r="B21" s="204"/>
      <c r="C21" s="213" t="s">
        <v>503</v>
      </c>
      <c r="D21" s="199"/>
      <c r="E21" s="199"/>
      <c r="F21" s="199"/>
      <c r="G21" s="199"/>
      <c r="H21" s="199"/>
      <c r="I21" s="199"/>
      <c r="J21" s="214">
        <f>J48</f>
        <v>0</v>
      </c>
      <c r="K21" s="199"/>
      <c r="L21" s="202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U21" s="215" t="s">
        <v>504</v>
      </c>
    </row>
    <row r="22" spans="1:47" s="216" customFormat="1" ht="24.95" customHeight="1">
      <c r="B22" s="217"/>
      <c r="D22" s="218" t="s">
        <v>505</v>
      </c>
      <c r="E22" s="219"/>
      <c r="F22" s="219"/>
      <c r="G22" s="219"/>
      <c r="H22" s="219"/>
      <c r="I22" s="219"/>
      <c r="J22" s="220">
        <f>J49</f>
        <v>0</v>
      </c>
      <c r="L22" s="217"/>
    </row>
    <row r="23" spans="1:47" s="221" customFormat="1" ht="19.899999999999999" customHeight="1">
      <c r="B23" s="222"/>
      <c r="D23" s="223" t="s">
        <v>506</v>
      </c>
      <c r="E23" s="224"/>
      <c r="F23" s="224"/>
      <c r="G23" s="224"/>
      <c r="H23" s="224"/>
      <c r="I23" s="224"/>
      <c r="J23" s="225">
        <f>J50</f>
        <v>0</v>
      </c>
      <c r="L23" s="222"/>
    </row>
    <row r="24" spans="1:47" s="221" customFormat="1" ht="19.899999999999999" customHeight="1">
      <c r="B24" s="222"/>
      <c r="D24" s="223" t="s">
        <v>507</v>
      </c>
      <c r="E24" s="224"/>
      <c r="F24" s="224"/>
      <c r="G24" s="224"/>
      <c r="H24" s="224"/>
      <c r="I24" s="224"/>
      <c r="J24" s="225">
        <f>J96</f>
        <v>0</v>
      </c>
      <c r="L24" s="222"/>
    </row>
    <row r="25" spans="1:47" s="221" customFormat="1" ht="19.899999999999999" customHeight="1">
      <c r="B25" s="222"/>
      <c r="D25" s="223" t="s">
        <v>508</v>
      </c>
      <c r="E25" s="224"/>
      <c r="F25" s="224"/>
      <c r="G25" s="224"/>
      <c r="H25" s="224"/>
      <c r="I25" s="224"/>
      <c r="J25" s="225">
        <f>J101</f>
        <v>0</v>
      </c>
      <c r="L25" s="222"/>
    </row>
    <row r="26" spans="1:47" s="221" customFormat="1" ht="19.899999999999999" customHeight="1">
      <c r="B26" s="222"/>
      <c r="D26" s="223" t="s">
        <v>509</v>
      </c>
      <c r="E26" s="224"/>
      <c r="F26" s="224"/>
      <c r="G26" s="224"/>
      <c r="H26" s="224"/>
      <c r="I26" s="224"/>
      <c r="J26" s="225">
        <f>J104</f>
        <v>0</v>
      </c>
      <c r="L26" s="222"/>
    </row>
    <row r="27" spans="1:47" s="221" customFormat="1" ht="19.899999999999999" customHeight="1">
      <c r="B27" s="222"/>
      <c r="D27" s="223" t="s">
        <v>510</v>
      </c>
      <c r="E27" s="224"/>
      <c r="F27" s="224"/>
      <c r="G27" s="224"/>
      <c r="H27" s="224"/>
      <c r="I27" s="224"/>
      <c r="J27" s="225">
        <f>J180</f>
        <v>0</v>
      </c>
      <c r="L27" s="222"/>
    </row>
    <row r="28" spans="1:47" s="221" customFormat="1" ht="19.899999999999999" customHeight="1">
      <c r="B28" s="222"/>
      <c r="D28" s="223" t="s">
        <v>511</v>
      </c>
      <c r="E28" s="224"/>
      <c r="F28" s="224"/>
      <c r="G28" s="224"/>
      <c r="H28" s="224"/>
      <c r="I28" s="224"/>
      <c r="J28" s="225">
        <f>J187</f>
        <v>0</v>
      </c>
      <c r="L28" s="222"/>
    </row>
    <row r="29" spans="1:47" s="203" customFormat="1" ht="21.75" customHeight="1">
      <c r="A29" s="199"/>
      <c r="B29" s="204"/>
      <c r="C29" s="199"/>
      <c r="D29" s="199"/>
      <c r="E29" s="199"/>
      <c r="F29" s="199"/>
      <c r="G29" s="199"/>
      <c r="H29" s="199"/>
      <c r="I29" s="199"/>
      <c r="J29" s="199"/>
      <c r="K29" s="199"/>
      <c r="L29" s="202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47" s="203" customFormat="1" ht="6.95" customHeight="1">
      <c r="A30" s="199"/>
      <c r="B30" s="226"/>
      <c r="C30" s="227"/>
      <c r="D30" s="227"/>
      <c r="E30" s="227"/>
      <c r="F30" s="227"/>
      <c r="G30" s="227"/>
      <c r="H30" s="227"/>
      <c r="I30" s="227"/>
      <c r="J30" s="227"/>
      <c r="K30" s="227"/>
      <c r="L30" s="202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47" s="198" customFormat="1"/>
    <row r="32" spans="1:47" s="198" customFormat="1"/>
    <row r="33" spans="1:63" s="198" customFormat="1"/>
    <row r="34" spans="1:63" s="203" customFormat="1" ht="6.95" customHeight="1">
      <c r="A34" s="199"/>
      <c r="B34" s="200"/>
      <c r="C34" s="201"/>
      <c r="D34" s="201"/>
      <c r="E34" s="201"/>
      <c r="F34" s="201"/>
      <c r="G34" s="201"/>
      <c r="H34" s="201"/>
      <c r="I34" s="201"/>
      <c r="J34" s="201"/>
      <c r="K34" s="201"/>
      <c r="L34" s="202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63" s="203" customFormat="1" ht="24.95" customHeight="1">
      <c r="A35" s="199"/>
      <c r="B35" s="204"/>
      <c r="C35" s="205" t="s">
        <v>512</v>
      </c>
      <c r="D35" s="199"/>
      <c r="E35" s="199"/>
      <c r="F35" s="199"/>
      <c r="G35" s="199"/>
      <c r="H35" s="199"/>
      <c r="I35" s="199"/>
      <c r="J35" s="199"/>
      <c r="K35" s="199"/>
      <c r="L35" s="202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63" s="203" customFormat="1" ht="6.95" customHeight="1">
      <c r="A36" s="199"/>
      <c r="B36" s="204"/>
      <c r="C36" s="199"/>
      <c r="D36" s="199"/>
      <c r="E36" s="199"/>
      <c r="F36" s="199"/>
      <c r="G36" s="199"/>
      <c r="H36" s="199"/>
      <c r="I36" s="199"/>
      <c r="J36" s="199"/>
      <c r="K36" s="199"/>
      <c r="L36" s="202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63" s="203" customFormat="1" ht="12" customHeight="1">
      <c r="A37" s="199"/>
      <c r="B37" s="204"/>
      <c r="C37" s="206" t="s">
        <v>212</v>
      </c>
      <c r="D37" s="199"/>
      <c r="E37" s="199"/>
      <c r="F37" s="199"/>
      <c r="G37" s="199"/>
      <c r="H37" s="199"/>
      <c r="I37" s="199"/>
      <c r="J37" s="199"/>
      <c r="K37" s="199"/>
      <c r="L37" s="202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63" s="203" customFormat="1" ht="26.25" customHeight="1">
      <c r="A38" s="199"/>
      <c r="B38" s="204"/>
      <c r="C38" s="199"/>
      <c r="D38" s="199"/>
      <c r="E38" s="404" t="s">
        <v>498</v>
      </c>
      <c r="F38" s="405"/>
      <c r="G38" s="405"/>
      <c r="H38" s="405"/>
      <c r="I38" s="199"/>
      <c r="J38" s="199"/>
      <c r="K38" s="199"/>
      <c r="L38" s="202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63" s="203" customFormat="1" ht="12" customHeight="1">
      <c r="A39" s="199"/>
      <c r="B39" s="204"/>
      <c r="C39" s="206" t="s">
        <v>213</v>
      </c>
      <c r="D39" s="199"/>
      <c r="E39" s="199"/>
      <c r="F39" s="199"/>
      <c r="G39" s="199"/>
      <c r="H39" s="199"/>
      <c r="I39" s="199"/>
      <c r="J39" s="199"/>
      <c r="K39" s="199"/>
      <c r="L39" s="202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63" s="203" customFormat="1" ht="16.5" customHeight="1">
      <c r="A40" s="199"/>
      <c r="B40" s="204"/>
      <c r="C40" s="199"/>
      <c r="D40" s="199"/>
      <c r="E40" s="406"/>
      <c r="F40" s="407"/>
      <c r="G40" s="407"/>
      <c r="H40" s="407"/>
      <c r="I40" s="199"/>
      <c r="J40" s="199"/>
      <c r="K40" s="199"/>
      <c r="L40" s="202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1" spans="1:63" s="203" customFormat="1" ht="6.95" customHeight="1">
      <c r="A41" s="199"/>
      <c r="B41" s="204"/>
      <c r="C41" s="199"/>
      <c r="D41" s="199"/>
      <c r="E41" s="199"/>
      <c r="F41" s="199"/>
      <c r="G41" s="199"/>
      <c r="H41" s="199"/>
      <c r="I41" s="199"/>
      <c r="J41" s="199"/>
      <c r="K41" s="199"/>
      <c r="L41" s="202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</row>
    <row r="42" spans="1:63" s="203" customFormat="1" ht="12" customHeight="1">
      <c r="A42" s="199"/>
      <c r="B42" s="204"/>
      <c r="C42" s="206" t="s">
        <v>214</v>
      </c>
      <c r="D42" s="199"/>
      <c r="E42" s="199"/>
      <c r="F42" s="207" t="s">
        <v>499</v>
      </c>
      <c r="G42" s="199"/>
      <c r="H42" s="199"/>
      <c r="I42" s="206" t="s">
        <v>215</v>
      </c>
      <c r="J42" s="208">
        <v>44365</v>
      </c>
      <c r="K42" s="199"/>
      <c r="L42" s="202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</row>
    <row r="43" spans="1:63" s="203" customFormat="1" ht="6.95" customHeight="1">
      <c r="A43" s="199"/>
      <c r="B43" s="204"/>
      <c r="C43" s="199"/>
      <c r="D43" s="199"/>
      <c r="E43" s="199"/>
      <c r="F43" s="199"/>
      <c r="G43" s="199"/>
      <c r="H43" s="199"/>
      <c r="I43" s="199"/>
      <c r="J43" s="199"/>
      <c r="K43" s="199"/>
      <c r="L43" s="202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</row>
    <row r="44" spans="1:63" s="203" customFormat="1" ht="15.2" customHeight="1">
      <c r="A44" s="199"/>
      <c r="B44" s="204"/>
      <c r="C44" s="206" t="s">
        <v>500</v>
      </c>
      <c r="D44" s="199"/>
      <c r="E44" s="199"/>
      <c r="F44" s="207"/>
      <c r="G44" s="199"/>
      <c r="H44" s="199"/>
      <c r="I44" s="206" t="s">
        <v>217</v>
      </c>
      <c r="J44" s="209"/>
      <c r="K44" s="199"/>
      <c r="L44" s="202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63" s="203" customFormat="1" ht="15.2" customHeight="1">
      <c r="A45" s="199"/>
      <c r="B45" s="204"/>
      <c r="C45" s="206" t="s">
        <v>218</v>
      </c>
      <c r="D45" s="199"/>
      <c r="E45" s="199"/>
      <c r="F45" s="207"/>
      <c r="G45" s="199"/>
      <c r="H45" s="199"/>
      <c r="I45" s="206" t="s">
        <v>219</v>
      </c>
      <c r="J45" s="209"/>
      <c r="K45" s="199"/>
      <c r="L45" s="202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63" s="203" customFormat="1" ht="10.35" customHeight="1">
      <c r="A46" s="199"/>
      <c r="B46" s="204"/>
      <c r="C46" s="199"/>
      <c r="D46" s="199"/>
      <c r="E46" s="199"/>
      <c r="F46" s="199"/>
      <c r="G46" s="199"/>
      <c r="H46" s="199"/>
      <c r="I46" s="199"/>
      <c r="J46" s="199"/>
      <c r="K46" s="199"/>
      <c r="L46" s="202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63" s="238" customFormat="1" ht="29.25" customHeight="1">
      <c r="A47" s="228"/>
      <c r="B47" s="229"/>
      <c r="C47" s="230" t="s">
        <v>513</v>
      </c>
      <c r="D47" s="231" t="s">
        <v>514</v>
      </c>
      <c r="E47" s="231" t="s">
        <v>515</v>
      </c>
      <c r="F47" s="231" t="s">
        <v>9</v>
      </c>
      <c r="G47" s="231" t="s">
        <v>10</v>
      </c>
      <c r="H47" s="231" t="s">
        <v>267</v>
      </c>
      <c r="I47" s="231" t="s">
        <v>516</v>
      </c>
      <c r="J47" s="232" t="s">
        <v>502</v>
      </c>
      <c r="K47" s="233" t="s">
        <v>517</v>
      </c>
      <c r="L47" s="234"/>
      <c r="M47" s="235" t="s">
        <v>518</v>
      </c>
      <c r="N47" s="236" t="s">
        <v>221</v>
      </c>
      <c r="O47" s="236" t="s">
        <v>519</v>
      </c>
      <c r="P47" s="236" t="s">
        <v>520</v>
      </c>
      <c r="Q47" s="236" t="s">
        <v>521</v>
      </c>
      <c r="R47" s="236" t="s">
        <v>522</v>
      </c>
      <c r="S47" s="236" t="s">
        <v>523</v>
      </c>
      <c r="T47" s="237" t="s">
        <v>524</v>
      </c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</row>
    <row r="48" spans="1:63" s="203" customFormat="1" ht="22.9" customHeight="1">
      <c r="A48" s="199"/>
      <c r="B48" s="204"/>
      <c r="C48" s="239" t="s">
        <v>525</v>
      </c>
      <c r="D48" s="199"/>
      <c r="E48" s="199"/>
      <c r="F48" s="199"/>
      <c r="G48" s="199"/>
      <c r="H48" s="199"/>
      <c r="I48" s="199"/>
      <c r="J48" s="240">
        <f>J49</f>
        <v>0</v>
      </c>
      <c r="K48" s="199"/>
      <c r="L48" s="204"/>
      <c r="M48" s="241"/>
      <c r="N48" s="242"/>
      <c r="O48" s="243"/>
      <c r="P48" s="244">
        <f>P49</f>
        <v>322.73327900000004</v>
      </c>
      <c r="Q48" s="243"/>
      <c r="R48" s="244">
        <f>R49</f>
        <v>25.5480205</v>
      </c>
      <c r="S48" s="243"/>
      <c r="T48" s="245">
        <f>T49</f>
        <v>0.30000000000000004</v>
      </c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T48" s="215" t="s">
        <v>526</v>
      </c>
      <c r="AU48" s="215" t="s">
        <v>504</v>
      </c>
      <c r="BK48" s="246">
        <f>BK49</f>
        <v>0</v>
      </c>
    </row>
    <row r="49" spans="1:65" s="247" customFormat="1" ht="25.9" customHeight="1">
      <c r="B49" s="248"/>
      <c r="D49" s="249" t="s">
        <v>526</v>
      </c>
      <c r="E49" s="250" t="s">
        <v>35</v>
      </c>
      <c r="F49" s="250" t="s">
        <v>527</v>
      </c>
      <c r="J49" s="251">
        <f>SUM(J50,J96,J101,J104,J180)</f>
        <v>0</v>
      </c>
      <c r="L49" s="248"/>
      <c r="M49" s="252"/>
      <c r="N49" s="253"/>
      <c r="O49" s="253"/>
      <c r="P49" s="254">
        <f>P50+P96+P101+P104+P180+P187</f>
        <v>322.73327900000004</v>
      </c>
      <c r="Q49" s="253"/>
      <c r="R49" s="254">
        <f>R50+R96+R101+R104+R180+R187</f>
        <v>25.5480205</v>
      </c>
      <c r="S49" s="253"/>
      <c r="T49" s="255">
        <f>T50+T96+T101+T104+T180+T187</f>
        <v>0.30000000000000004</v>
      </c>
      <c r="AR49" s="249" t="s">
        <v>21</v>
      </c>
      <c r="AT49" s="256" t="s">
        <v>526</v>
      </c>
      <c r="AU49" s="256" t="s">
        <v>528</v>
      </c>
      <c r="AY49" s="249" t="s">
        <v>529</v>
      </c>
      <c r="BK49" s="257">
        <f>BK50+BK96+BK101+BK104+BK180+BK187</f>
        <v>0</v>
      </c>
    </row>
    <row r="50" spans="1:65" s="247" customFormat="1" ht="22.9" customHeight="1">
      <c r="B50" s="248"/>
      <c r="D50" s="249" t="s">
        <v>526</v>
      </c>
      <c r="E50" s="258" t="s">
        <v>21</v>
      </c>
      <c r="F50" s="258" t="s">
        <v>530</v>
      </c>
      <c r="J50" s="259">
        <f>SUM(J51:J93)</f>
        <v>0</v>
      </c>
      <c r="L50" s="248"/>
      <c r="M50" s="252"/>
      <c r="N50" s="253"/>
      <c r="O50" s="253"/>
      <c r="P50" s="254">
        <f>SUM(P51:P95)</f>
        <v>114.891251</v>
      </c>
      <c r="Q50" s="253"/>
      <c r="R50" s="254">
        <f>SUM(R51:R95)</f>
        <v>4.428E-2</v>
      </c>
      <c r="S50" s="253"/>
      <c r="T50" s="255">
        <f>SUM(T51:T95)</f>
        <v>0</v>
      </c>
      <c r="AR50" s="249" t="s">
        <v>21</v>
      </c>
      <c r="AT50" s="256" t="s">
        <v>526</v>
      </c>
      <c r="AU50" s="256" t="s">
        <v>21</v>
      </c>
      <c r="AY50" s="249" t="s">
        <v>529</v>
      </c>
      <c r="BK50" s="257">
        <f>SUM(BK51:BK95)</f>
        <v>0</v>
      </c>
    </row>
    <row r="51" spans="1:65" s="203" customFormat="1" ht="24.2" customHeight="1">
      <c r="A51" s="199"/>
      <c r="B51" s="260"/>
      <c r="C51" s="261" t="s">
        <v>21</v>
      </c>
      <c r="D51" s="261" t="s">
        <v>531</v>
      </c>
      <c r="E51" s="262" t="s">
        <v>532</v>
      </c>
      <c r="F51" s="263" t="s">
        <v>533</v>
      </c>
      <c r="G51" s="264" t="s">
        <v>252</v>
      </c>
      <c r="H51" s="265">
        <v>1.2</v>
      </c>
      <c r="I51" s="266"/>
      <c r="J51" s="266">
        <f>ROUND(I51*H51,2)</f>
        <v>0</v>
      </c>
      <c r="K51" s="267"/>
      <c r="L51" s="204"/>
      <c r="M51" s="268" t="s">
        <v>518</v>
      </c>
      <c r="N51" s="269" t="s">
        <v>534</v>
      </c>
      <c r="O51" s="270">
        <v>0.54700000000000004</v>
      </c>
      <c r="P51" s="270">
        <f>O51*H51</f>
        <v>0.65639999999999998</v>
      </c>
      <c r="Q51" s="270">
        <v>3.6900000000000002E-2</v>
      </c>
      <c r="R51" s="270">
        <f>Q51*H51</f>
        <v>4.428E-2</v>
      </c>
      <c r="S51" s="270">
        <v>0</v>
      </c>
      <c r="T51" s="271">
        <f>S51*H51</f>
        <v>0</v>
      </c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R51" s="272" t="s">
        <v>24</v>
      </c>
      <c r="AT51" s="272" t="s">
        <v>531</v>
      </c>
      <c r="AU51" s="272" t="s">
        <v>22</v>
      </c>
      <c r="AY51" s="215" t="s">
        <v>529</v>
      </c>
      <c r="BE51" s="273">
        <f>IF(N51="základní",J51,0)</f>
        <v>0</v>
      </c>
      <c r="BF51" s="273">
        <f>IF(N51="snížená",J51,0)</f>
        <v>0</v>
      </c>
      <c r="BG51" s="273">
        <f>IF(N51="zákl. přenesená",J51,0)</f>
        <v>0</v>
      </c>
      <c r="BH51" s="273">
        <f>IF(N51="sníž. přenesená",J51,0)</f>
        <v>0</v>
      </c>
      <c r="BI51" s="273">
        <f>IF(N51="nulová",J51,0)</f>
        <v>0</v>
      </c>
      <c r="BJ51" s="215" t="s">
        <v>21</v>
      </c>
      <c r="BK51" s="273">
        <f>ROUND(I51*H51,2)</f>
        <v>0</v>
      </c>
      <c r="BL51" s="215" t="s">
        <v>24</v>
      </c>
      <c r="BM51" s="272" t="s">
        <v>535</v>
      </c>
    </row>
    <row r="52" spans="1:65" s="274" customFormat="1" ht="11.25">
      <c r="B52" s="275"/>
      <c r="D52" s="276" t="s">
        <v>536</v>
      </c>
      <c r="E52" s="277" t="s">
        <v>518</v>
      </c>
      <c r="F52" s="278" t="s">
        <v>537</v>
      </c>
      <c r="H52" s="279">
        <v>1.2</v>
      </c>
      <c r="L52" s="275"/>
      <c r="M52" s="280"/>
      <c r="N52" s="281"/>
      <c r="O52" s="281"/>
      <c r="P52" s="281"/>
      <c r="Q52" s="281"/>
      <c r="R52" s="281"/>
      <c r="S52" s="281"/>
      <c r="T52" s="282"/>
      <c r="AT52" s="277" t="s">
        <v>536</v>
      </c>
      <c r="AU52" s="277" t="s">
        <v>22</v>
      </c>
      <c r="AV52" s="274" t="s">
        <v>22</v>
      </c>
      <c r="AW52" s="274" t="s">
        <v>538</v>
      </c>
      <c r="AX52" s="274" t="s">
        <v>21</v>
      </c>
      <c r="AY52" s="277" t="s">
        <v>529</v>
      </c>
    </row>
    <row r="53" spans="1:65" s="203" customFormat="1" ht="24.2" customHeight="1">
      <c r="A53" s="199"/>
      <c r="B53" s="260"/>
      <c r="C53" s="261" t="s">
        <v>22</v>
      </c>
      <c r="D53" s="261" t="s">
        <v>531</v>
      </c>
      <c r="E53" s="262" t="s">
        <v>539</v>
      </c>
      <c r="F53" s="263" t="s">
        <v>540</v>
      </c>
      <c r="G53" s="264" t="s">
        <v>45</v>
      </c>
      <c r="H53" s="265">
        <v>4.5119999999999996</v>
      </c>
      <c r="I53" s="266"/>
      <c r="J53" s="266">
        <f>ROUND(I53*H53,2)</f>
        <v>0</v>
      </c>
      <c r="K53" s="267"/>
      <c r="L53" s="204"/>
      <c r="M53" s="268" t="s">
        <v>518</v>
      </c>
      <c r="N53" s="269" t="s">
        <v>534</v>
      </c>
      <c r="O53" s="270">
        <v>1.548</v>
      </c>
      <c r="P53" s="270">
        <f>O53*H53</f>
        <v>6.9845759999999997</v>
      </c>
      <c r="Q53" s="270">
        <v>0</v>
      </c>
      <c r="R53" s="270">
        <f>Q53*H53</f>
        <v>0</v>
      </c>
      <c r="S53" s="270">
        <v>0</v>
      </c>
      <c r="T53" s="271">
        <f>S53*H53</f>
        <v>0</v>
      </c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R53" s="272" t="s">
        <v>24</v>
      </c>
      <c r="AT53" s="272" t="s">
        <v>531</v>
      </c>
      <c r="AU53" s="272" t="s">
        <v>22</v>
      </c>
      <c r="AY53" s="215" t="s">
        <v>529</v>
      </c>
      <c r="BE53" s="273">
        <f>IF(N53="základní",J53,0)</f>
        <v>0</v>
      </c>
      <c r="BF53" s="273">
        <f>IF(N53="snížená",J53,0)</f>
        <v>0</v>
      </c>
      <c r="BG53" s="273">
        <f>IF(N53="zákl. přenesená",J53,0)</f>
        <v>0</v>
      </c>
      <c r="BH53" s="273">
        <f>IF(N53="sníž. přenesená",J53,0)</f>
        <v>0</v>
      </c>
      <c r="BI53" s="273">
        <f>IF(N53="nulová",J53,0)</f>
        <v>0</v>
      </c>
      <c r="BJ53" s="215" t="s">
        <v>21</v>
      </c>
      <c r="BK53" s="273">
        <f>ROUND(I53*H53,2)</f>
        <v>0</v>
      </c>
      <c r="BL53" s="215" t="s">
        <v>24</v>
      </c>
      <c r="BM53" s="272" t="s">
        <v>541</v>
      </c>
    </row>
    <row r="54" spans="1:65" s="274" customFormat="1" ht="11.25">
      <c r="B54" s="275"/>
      <c r="D54" s="276" t="s">
        <v>536</v>
      </c>
      <c r="E54" s="277" t="s">
        <v>518</v>
      </c>
      <c r="F54" s="278" t="s">
        <v>542</v>
      </c>
      <c r="H54" s="279">
        <v>4.5119999999999996</v>
      </c>
      <c r="L54" s="275"/>
      <c r="M54" s="280"/>
      <c r="N54" s="281"/>
      <c r="O54" s="281"/>
      <c r="P54" s="281"/>
      <c r="Q54" s="281"/>
      <c r="R54" s="281"/>
      <c r="S54" s="281"/>
      <c r="T54" s="282"/>
      <c r="AT54" s="277" t="s">
        <v>536</v>
      </c>
      <c r="AU54" s="277" t="s">
        <v>22</v>
      </c>
      <c r="AV54" s="274" t="s">
        <v>22</v>
      </c>
      <c r="AW54" s="274" t="s">
        <v>538</v>
      </c>
      <c r="AX54" s="274" t="s">
        <v>21</v>
      </c>
      <c r="AY54" s="277" t="s">
        <v>529</v>
      </c>
    </row>
    <row r="55" spans="1:65" s="203" customFormat="1" ht="24.2" customHeight="1">
      <c r="A55" s="199"/>
      <c r="B55" s="260"/>
      <c r="C55" s="261" t="s">
        <v>23</v>
      </c>
      <c r="D55" s="261" t="s">
        <v>531</v>
      </c>
      <c r="E55" s="262" t="s">
        <v>543</v>
      </c>
      <c r="F55" s="263" t="s">
        <v>544</v>
      </c>
      <c r="G55" s="264" t="s">
        <v>45</v>
      </c>
      <c r="H55" s="265">
        <v>261.83600000000001</v>
      </c>
      <c r="I55" s="266"/>
      <c r="J55" s="266">
        <f>ROUND(I55*H55,2)</f>
        <v>0</v>
      </c>
      <c r="K55" s="267"/>
      <c r="L55" s="204"/>
      <c r="M55" s="268" t="s">
        <v>518</v>
      </c>
      <c r="N55" s="269" t="s">
        <v>534</v>
      </c>
      <c r="O55" s="270">
        <v>0</v>
      </c>
      <c r="P55" s="270">
        <f>O55*H55</f>
        <v>0</v>
      </c>
      <c r="Q55" s="270">
        <v>0</v>
      </c>
      <c r="R55" s="270">
        <f>Q55*H55</f>
        <v>0</v>
      </c>
      <c r="S55" s="270">
        <v>0</v>
      </c>
      <c r="T55" s="271">
        <f>S55*H55</f>
        <v>0</v>
      </c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R55" s="272" t="s">
        <v>24</v>
      </c>
      <c r="AT55" s="272" t="s">
        <v>531</v>
      </c>
      <c r="AU55" s="272" t="s">
        <v>22</v>
      </c>
      <c r="AY55" s="215" t="s">
        <v>529</v>
      </c>
      <c r="BE55" s="273">
        <f>IF(N55="základní",J55,0)</f>
        <v>0</v>
      </c>
      <c r="BF55" s="273">
        <f>IF(N55="snížená",J55,0)</f>
        <v>0</v>
      </c>
      <c r="BG55" s="273">
        <f>IF(N55="zákl. přenesená",J55,0)</f>
        <v>0</v>
      </c>
      <c r="BH55" s="273">
        <f>IF(N55="sníž. přenesená",J55,0)</f>
        <v>0</v>
      </c>
      <c r="BI55" s="273">
        <f>IF(N55="nulová",J55,0)</f>
        <v>0</v>
      </c>
      <c r="BJ55" s="215" t="s">
        <v>21</v>
      </c>
      <c r="BK55" s="273">
        <f>ROUND(I55*H55,2)</f>
        <v>0</v>
      </c>
      <c r="BL55" s="215" t="s">
        <v>24</v>
      </c>
      <c r="BM55" s="272" t="s">
        <v>545</v>
      </c>
    </row>
    <row r="56" spans="1:65" s="274" customFormat="1" ht="11.25">
      <c r="B56" s="275"/>
      <c r="D56" s="276" t="s">
        <v>536</v>
      </c>
      <c r="E56" s="277" t="s">
        <v>518</v>
      </c>
      <c r="F56" s="278" t="s">
        <v>546</v>
      </c>
      <c r="H56" s="279">
        <v>270.72000000000003</v>
      </c>
      <c r="L56" s="275"/>
      <c r="M56" s="280"/>
      <c r="N56" s="281"/>
      <c r="O56" s="281"/>
      <c r="P56" s="281"/>
      <c r="Q56" s="281"/>
      <c r="R56" s="281"/>
      <c r="S56" s="281"/>
      <c r="T56" s="282"/>
      <c r="AT56" s="277" t="s">
        <v>536</v>
      </c>
      <c r="AU56" s="277" t="s">
        <v>22</v>
      </c>
      <c r="AV56" s="274" t="s">
        <v>22</v>
      </c>
      <c r="AW56" s="274" t="s">
        <v>538</v>
      </c>
      <c r="AX56" s="274" t="s">
        <v>528</v>
      </c>
      <c r="AY56" s="277" t="s">
        <v>529</v>
      </c>
    </row>
    <row r="57" spans="1:65" s="274" customFormat="1" ht="11.25">
      <c r="B57" s="275"/>
      <c r="D57" s="276" t="s">
        <v>536</v>
      </c>
      <c r="E57" s="277" t="s">
        <v>518</v>
      </c>
      <c r="F57" s="278" t="s">
        <v>547</v>
      </c>
      <c r="H57" s="279">
        <v>-15.27</v>
      </c>
      <c r="L57" s="275"/>
      <c r="M57" s="280"/>
      <c r="N57" s="281"/>
      <c r="O57" s="281"/>
      <c r="P57" s="281"/>
      <c r="Q57" s="281"/>
      <c r="R57" s="281"/>
      <c r="S57" s="281"/>
      <c r="T57" s="282"/>
      <c r="AT57" s="277" t="s">
        <v>536</v>
      </c>
      <c r="AU57" s="277" t="s">
        <v>22</v>
      </c>
      <c r="AV57" s="274" t="s">
        <v>22</v>
      </c>
      <c r="AW57" s="274" t="s">
        <v>538</v>
      </c>
      <c r="AX57" s="274" t="s">
        <v>528</v>
      </c>
      <c r="AY57" s="277" t="s">
        <v>529</v>
      </c>
    </row>
    <row r="58" spans="1:65" s="283" customFormat="1" ht="11.25">
      <c r="B58" s="284"/>
      <c r="D58" s="276" t="s">
        <v>536</v>
      </c>
      <c r="E58" s="285" t="s">
        <v>548</v>
      </c>
      <c r="F58" s="286" t="s">
        <v>549</v>
      </c>
      <c r="H58" s="287">
        <v>255.45</v>
      </c>
      <c r="L58" s="284"/>
      <c r="M58" s="288"/>
      <c r="N58" s="289"/>
      <c r="O58" s="289"/>
      <c r="P58" s="289"/>
      <c r="Q58" s="289"/>
      <c r="R58" s="289"/>
      <c r="S58" s="289"/>
      <c r="T58" s="290"/>
      <c r="AT58" s="285" t="s">
        <v>536</v>
      </c>
      <c r="AU58" s="285" t="s">
        <v>22</v>
      </c>
      <c r="AV58" s="283" t="s">
        <v>23</v>
      </c>
      <c r="AW58" s="283" t="s">
        <v>538</v>
      </c>
      <c r="AX58" s="283" t="s">
        <v>528</v>
      </c>
      <c r="AY58" s="285" t="s">
        <v>529</v>
      </c>
    </row>
    <row r="59" spans="1:65" s="274" customFormat="1" ht="22.5">
      <c r="B59" s="275"/>
      <c r="D59" s="276" t="s">
        <v>536</v>
      </c>
      <c r="E59" s="277" t="s">
        <v>550</v>
      </c>
      <c r="F59" s="278" t="s">
        <v>551</v>
      </c>
      <c r="H59" s="279">
        <v>6.3860000000000001</v>
      </c>
      <c r="L59" s="275"/>
      <c r="M59" s="280"/>
      <c r="N59" s="281"/>
      <c r="O59" s="281"/>
      <c r="P59" s="281"/>
      <c r="Q59" s="281"/>
      <c r="R59" s="281"/>
      <c r="S59" s="281"/>
      <c r="T59" s="282"/>
      <c r="AT59" s="277" t="s">
        <v>536</v>
      </c>
      <c r="AU59" s="277" t="s">
        <v>22</v>
      </c>
      <c r="AV59" s="274" t="s">
        <v>22</v>
      </c>
      <c r="AW59" s="274" t="s">
        <v>538</v>
      </c>
      <c r="AX59" s="274" t="s">
        <v>528</v>
      </c>
      <c r="AY59" s="277" t="s">
        <v>529</v>
      </c>
    </row>
    <row r="60" spans="1:65" s="291" customFormat="1" ht="11.25">
      <c r="B60" s="292"/>
      <c r="D60" s="276" t="s">
        <v>536</v>
      </c>
      <c r="E60" s="293" t="s">
        <v>552</v>
      </c>
      <c r="F60" s="294" t="s">
        <v>553</v>
      </c>
      <c r="H60" s="295">
        <v>261.83600000000001</v>
      </c>
      <c r="L60" s="292"/>
      <c r="M60" s="296"/>
      <c r="N60" s="297"/>
      <c r="O60" s="297"/>
      <c r="P60" s="297"/>
      <c r="Q60" s="297"/>
      <c r="R60" s="297"/>
      <c r="S60" s="297"/>
      <c r="T60" s="298"/>
      <c r="AT60" s="293" t="s">
        <v>536</v>
      </c>
      <c r="AU60" s="293" t="s">
        <v>22</v>
      </c>
      <c r="AV60" s="291" t="s">
        <v>24</v>
      </c>
      <c r="AW60" s="291" t="s">
        <v>538</v>
      </c>
      <c r="AX60" s="291" t="s">
        <v>21</v>
      </c>
      <c r="AY60" s="293" t="s">
        <v>529</v>
      </c>
    </row>
    <row r="61" spans="1:65" s="274" customFormat="1" ht="11.25">
      <c r="B61" s="275"/>
      <c r="D61" s="276" t="s">
        <v>536</v>
      </c>
      <c r="E61" s="277" t="s">
        <v>554</v>
      </c>
      <c r="F61" s="278" t="s">
        <v>555</v>
      </c>
      <c r="H61" s="279">
        <v>3.76</v>
      </c>
      <c r="L61" s="275"/>
      <c r="M61" s="280"/>
      <c r="N61" s="281"/>
      <c r="O61" s="281"/>
      <c r="P61" s="281"/>
      <c r="Q61" s="281"/>
      <c r="R61" s="281"/>
      <c r="S61" s="281"/>
      <c r="T61" s="282"/>
      <c r="AT61" s="277" t="s">
        <v>536</v>
      </c>
      <c r="AU61" s="277" t="s">
        <v>22</v>
      </c>
      <c r="AV61" s="274" t="s">
        <v>22</v>
      </c>
      <c r="AW61" s="274" t="s">
        <v>538</v>
      </c>
      <c r="AX61" s="274" t="s">
        <v>528</v>
      </c>
      <c r="AY61" s="277" t="s">
        <v>529</v>
      </c>
    </row>
    <row r="62" spans="1:65" s="274" customFormat="1" ht="11.25">
      <c r="B62" s="275"/>
      <c r="D62" s="276" t="s">
        <v>536</v>
      </c>
      <c r="E62" s="277" t="s">
        <v>556</v>
      </c>
      <c r="F62" s="278" t="s">
        <v>557</v>
      </c>
      <c r="H62" s="279">
        <v>1.2</v>
      </c>
      <c r="L62" s="275"/>
      <c r="M62" s="280"/>
      <c r="N62" s="281"/>
      <c r="O62" s="281"/>
      <c r="P62" s="281"/>
      <c r="Q62" s="281"/>
      <c r="R62" s="281"/>
      <c r="S62" s="281"/>
      <c r="T62" s="282"/>
      <c r="AT62" s="277" t="s">
        <v>536</v>
      </c>
      <c r="AU62" s="277" t="s">
        <v>22</v>
      </c>
      <c r="AV62" s="274" t="s">
        <v>22</v>
      </c>
      <c r="AW62" s="274" t="s">
        <v>538</v>
      </c>
      <c r="AX62" s="274" t="s">
        <v>528</v>
      </c>
      <c r="AY62" s="277" t="s">
        <v>529</v>
      </c>
    </row>
    <row r="63" spans="1:65" s="274" customFormat="1" ht="11.25">
      <c r="B63" s="275"/>
      <c r="D63" s="276" t="s">
        <v>536</v>
      </c>
      <c r="E63" s="277" t="s">
        <v>558</v>
      </c>
      <c r="F63" s="278" t="s">
        <v>559</v>
      </c>
      <c r="H63" s="279">
        <v>42</v>
      </c>
      <c r="L63" s="275"/>
      <c r="M63" s="280"/>
      <c r="N63" s="281"/>
      <c r="O63" s="281"/>
      <c r="P63" s="281"/>
      <c r="Q63" s="281"/>
      <c r="R63" s="281"/>
      <c r="S63" s="281"/>
      <c r="T63" s="282"/>
      <c r="AT63" s="277" t="s">
        <v>536</v>
      </c>
      <c r="AU63" s="277" t="s">
        <v>22</v>
      </c>
      <c r="AV63" s="274" t="s">
        <v>22</v>
      </c>
      <c r="AW63" s="274" t="s">
        <v>538</v>
      </c>
      <c r="AX63" s="274" t="s">
        <v>528</v>
      </c>
      <c r="AY63" s="277" t="s">
        <v>529</v>
      </c>
    </row>
    <row r="64" spans="1:65" s="274" customFormat="1" ht="11.25">
      <c r="B64" s="275"/>
      <c r="D64" s="276" t="s">
        <v>536</v>
      </c>
      <c r="E64" s="277" t="s">
        <v>560</v>
      </c>
      <c r="F64" s="278" t="s">
        <v>561</v>
      </c>
      <c r="H64" s="279">
        <v>12</v>
      </c>
      <c r="L64" s="275"/>
      <c r="M64" s="280"/>
      <c r="N64" s="281"/>
      <c r="O64" s="281"/>
      <c r="P64" s="281"/>
      <c r="Q64" s="281"/>
      <c r="R64" s="281"/>
      <c r="S64" s="281"/>
      <c r="T64" s="282"/>
      <c r="AT64" s="277" t="s">
        <v>536</v>
      </c>
      <c r="AU64" s="277" t="s">
        <v>22</v>
      </c>
      <c r="AV64" s="274" t="s">
        <v>22</v>
      </c>
      <c r="AW64" s="274" t="s">
        <v>538</v>
      </c>
      <c r="AX64" s="274" t="s">
        <v>528</v>
      </c>
      <c r="AY64" s="277" t="s">
        <v>529</v>
      </c>
    </row>
    <row r="65" spans="1:65" s="274" customFormat="1" ht="11.25">
      <c r="B65" s="275"/>
      <c r="D65" s="276" t="s">
        <v>536</v>
      </c>
      <c r="E65" s="277" t="s">
        <v>562</v>
      </c>
      <c r="F65" s="278" t="s">
        <v>563</v>
      </c>
      <c r="H65" s="279">
        <v>6</v>
      </c>
      <c r="L65" s="275"/>
      <c r="M65" s="280"/>
      <c r="N65" s="281"/>
      <c r="O65" s="281"/>
      <c r="P65" s="281"/>
      <c r="Q65" s="281"/>
      <c r="R65" s="281"/>
      <c r="S65" s="281"/>
      <c r="T65" s="282"/>
      <c r="AT65" s="277" t="s">
        <v>536</v>
      </c>
      <c r="AU65" s="277" t="s">
        <v>22</v>
      </c>
      <c r="AV65" s="274" t="s">
        <v>22</v>
      </c>
      <c r="AW65" s="274" t="s">
        <v>538</v>
      </c>
      <c r="AX65" s="274" t="s">
        <v>528</v>
      </c>
      <c r="AY65" s="277" t="s">
        <v>529</v>
      </c>
    </row>
    <row r="66" spans="1:65" s="274" customFormat="1" ht="11.25">
      <c r="B66" s="275"/>
      <c r="D66" s="276" t="s">
        <v>536</v>
      </c>
      <c r="E66" s="277" t="s">
        <v>564</v>
      </c>
      <c r="F66" s="278" t="s">
        <v>565</v>
      </c>
      <c r="H66" s="279">
        <v>60</v>
      </c>
      <c r="L66" s="275"/>
      <c r="M66" s="280"/>
      <c r="N66" s="281"/>
      <c r="O66" s="281"/>
      <c r="P66" s="281"/>
      <c r="Q66" s="281"/>
      <c r="R66" s="281"/>
      <c r="S66" s="281"/>
      <c r="T66" s="282"/>
      <c r="AT66" s="277" t="s">
        <v>536</v>
      </c>
      <c r="AU66" s="277" t="s">
        <v>22</v>
      </c>
      <c r="AV66" s="274" t="s">
        <v>22</v>
      </c>
      <c r="AW66" s="274" t="s">
        <v>538</v>
      </c>
      <c r="AX66" s="274" t="s">
        <v>528</v>
      </c>
      <c r="AY66" s="277" t="s">
        <v>529</v>
      </c>
    </row>
    <row r="67" spans="1:65" s="274" customFormat="1" ht="11.25">
      <c r="B67" s="275"/>
      <c r="D67" s="276" t="s">
        <v>536</v>
      </c>
      <c r="E67" s="277" t="s">
        <v>566</v>
      </c>
      <c r="F67" s="278" t="s">
        <v>567</v>
      </c>
      <c r="H67" s="279">
        <v>14.5</v>
      </c>
      <c r="L67" s="275"/>
      <c r="M67" s="280"/>
      <c r="N67" s="281"/>
      <c r="O67" s="281"/>
      <c r="P67" s="281"/>
      <c r="Q67" s="281"/>
      <c r="R67" s="281"/>
      <c r="S67" s="281"/>
      <c r="T67" s="282"/>
      <c r="AT67" s="277" t="s">
        <v>536</v>
      </c>
      <c r="AU67" s="277" t="s">
        <v>22</v>
      </c>
      <c r="AV67" s="274" t="s">
        <v>22</v>
      </c>
      <c r="AW67" s="274" t="s">
        <v>538</v>
      </c>
      <c r="AX67" s="274" t="s">
        <v>528</v>
      </c>
      <c r="AY67" s="277" t="s">
        <v>529</v>
      </c>
    </row>
    <row r="68" spans="1:65" s="274" customFormat="1" ht="11.25">
      <c r="B68" s="275"/>
      <c r="D68" s="276" t="s">
        <v>536</v>
      </c>
      <c r="E68" s="277" t="s">
        <v>568</v>
      </c>
      <c r="F68" s="278" t="s">
        <v>569</v>
      </c>
      <c r="H68" s="279">
        <v>45.5</v>
      </c>
      <c r="L68" s="275"/>
      <c r="M68" s="280"/>
      <c r="N68" s="281"/>
      <c r="O68" s="281"/>
      <c r="P68" s="281"/>
      <c r="Q68" s="281"/>
      <c r="R68" s="281"/>
      <c r="S68" s="281"/>
      <c r="T68" s="282"/>
      <c r="AT68" s="277" t="s">
        <v>536</v>
      </c>
      <c r="AU68" s="277" t="s">
        <v>22</v>
      </c>
      <c r="AV68" s="274" t="s">
        <v>22</v>
      </c>
      <c r="AW68" s="274" t="s">
        <v>538</v>
      </c>
      <c r="AX68" s="274" t="s">
        <v>528</v>
      </c>
      <c r="AY68" s="277" t="s">
        <v>529</v>
      </c>
    </row>
    <row r="69" spans="1:65" s="274" customFormat="1" ht="11.25">
      <c r="B69" s="275"/>
      <c r="D69" s="276" t="s">
        <v>536</v>
      </c>
      <c r="E69" s="277" t="s">
        <v>570</v>
      </c>
      <c r="F69" s="278" t="s">
        <v>571</v>
      </c>
      <c r="H69" s="279">
        <v>0.2</v>
      </c>
      <c r="L69" s="275"/>
      <c r="M69" s="280"/>
      <c r="N69" s="281"/>
      <c r="O69" s="281"/>
      <c r="P69" s="281"/>
      <c r="Q69" s="281"/>
      <c r="R69" s="281"/>
      <c r="S69" s="281"/>
      <c r="T69" s="282"/>
      <c r="AT69" s="277" t="s">
        <v>536</v>
      </c>
      <c r="AU69" s="277" t="s">
        <v>22</v>
      </c>
      <c r="AV69" s="274" t="s">
        <v>22</v>
      </c>
      <c r="AW69" s="274" t="s">
        <v>538</v>
      </c>
      <c r="AX69" s="274" t="s">
        <v>528</v>
      </c>
      <c r="AY69" s="277" t="s">
        <v>529</v>
      </c>
    </row>
    <row r="70" spans="1:65" s="274" customFormat="1" ht="11.25">
      <c r="B70" s="275"/>
      <c r="D70" s="276" t="s">
        <v>536</v>
      </c>
      <c r="E70" s="277" t="s">
        <v>572</v>
      </c>
      <c r="F70" s="278" t="s">
        <v>573</v>
      </c>
      <c r="H70" s="279">
        <v>0.25</v>
      </c>
      <c r="L70" s="275"/>
      <c r="M70" s="280"/>
      <c r="N70" s="281"/>
      <c r="O70" s="281"/>
      <c r="P70" s="281"/>
      <c r="Q70" s="281"/>
      <c r="R70" s="281"/>
      <c r="S70" s="281"/>
      <c r="T70" s="282"/>
      <c r="AT70" s="277" t="s">
        <v>536</v>
      </c>
      <c r="AU70" s="277" t="s">
        <v>22</v>
      </c>
      <c r="AV70" s="274" t="s">
        <v>22</v>
      </c>
      <c r="AW70" s="274" t="s">
        <v>538</v>
      </c>
      <c r="AX70" s="274" t="s">
        <v>528</v>
      </c>
      <c r="AY70" s="277" t="s">
        <v>529</v>
      </c>
    </row>
    <row r="71" spans="1:65" s="274" customFormat="1" ht="22.5">
      <c r="B71" s="275"/>
      <c r="D71" s="276" t="s">
        <v>536</v>
      </c>
      <c r="E71" s="277" t="s">
        <v>574</v>
      </c>
      <c r="F71" s="278" t="s">
        <v>575</v>
      </c>
      <c r="H71" s="279">
        <v>30.699000000000002</v>
      </c>
      <c r="L71" s="275"/>
      <c r="M71" s="280"/>
      <c r="N71" s="281"/>
      <c r="O71" s="281"/>
      <c r="P71" s="281"/>
      <c r="Q71" s="281"/>
      <c r="R71" s="281"/>
      <c r="S71" s="281"/>
      <c r="T71" s="282"/>
      <c r="AT71" s="277" t="s">
        <v>536</v>
      </c>
      <c r="AU71" s="277" t="s">
        <v>22</v>
      </c>
      <c r="AV71" s="274" t="s">
        <v>22</v>
      </c>
      <c r="AW71" s="274" t="s">
        <v>538</v>
      </c>
      <c r="AX71" s="274" t="s">
        <v>528</v>
      </c>
      <c r="AY71" s="277" t="s">
        <v>529</v>
      </c>
    </row>
    <row r="72" spans="1:65" s="274" customFormat="1" ht="11.25">
      <c r="B72" s="275"/>
      <c r="D72" s="276" t="s">
        <v>536</v>
      </c>
      <c r="E72" s="277" t="s">
        <v>576</v>
      </c>
      <c r="F72" s="278" t="s">
        <v>577</v>
      </c>
      <c r="H72" s="279">
        <v>0.125</v>
      </c>
      <c r="L72" s="275"/>
      <c r="M72" s="280"/>
      <c r="N72" s="281"/>
      <c r="O72" s="281"/>
      <c r="P72" s="281"/>
      <c r="Q72" s="281"/>
      <c r="R72" s="281"/>
      <c r="S72" s="281"/>
      <c r="T72" s="282"/>
      <c r="AT72" s="277" t="s">
        <v>536</v>
      </c>
      <c r="AU72" s="277" t="s">
        <v>22</v>
      </c>
      <c r="AV72" s="274" t="s">
        <v>22</v>
      </c>
      <c r="AW72" s="274" t="s">
        <v>538</v>
      </c>
      <c r="AX72" s="274" t="s">
        <v>528</v>
      </c>
      <c r="AY72" s="277" t="s">
        <v>529</v>
      </c>
    </row>
    <row r="73" spans="1:65" s="274" customFormat="1" ht="11.25">
      <c r="B73" s="275"/>
      <c r="D73" s="276" t="s">
        <v>536</v>
      </c>
      <c r="E73" s="277" t="s">
        <v>578</v>
      </c>
      <c r="F73" s="278" t="s">
        <v>579</v>
      </c>
      <c r="H73" s="279">
        <v>0.15</v>
      </c>
      <c r="L73" s="275"/>
      <c r="M73" s="280"/>
      <c r="N73" s="281"/>
      <c r="O73" s="281"/>
      <c r="P73" s="281"/>
      <c r="Q73" s="281"/>
      <c r="R73" s="281"/>
      <c r="S73" s="281"/>
      <c r="T73" s="282"/>
      <c r="AT73" s="277" t="s">
        <v>536</v>
      </c>
      <c r="AU73" s="277" t="s">
        <v>22</v>
      </c>
      <c r="AV73" s="274" t="s">
        <v>22</v>
      </c>
      <c r="AW73" s="274" t="s">
        <v>538</v>
      </c>
      <c r="AX73" s="274" t="s">
        <v>528</v>
      </c>
      <c r="AY73" s="277" t="s">
        <v>529</v>
      </c>
    </row>
    <row r="74" spans="1:65" s="274" customFormat="1" ht="11.25">
      <c r="B74" s="275"/>
      <c r="D74" s="276" t="s">
        <v>536</v>
      </c>
      <c r="E74" s="277" t="s">
        <v>580</v>
      </c>
      <c r="F74" s="278" t="s">
        <v>581</v>
      </c>
      <c r="H74" s="279">
        <v>0.2</v>
      </c>
      <c r="L74" s="275"/>
      <c r="M74" s="280"/>
      <c r="N74" s="281"/>
      <c r="O74" s="281"/>
      <c r="P74" s="281"/>
      <c r="Q74" s="281"/>
      <c r="R74" s="281"/>
      <c r="S74" s="281"/>
      <c r="T74" s="282"/>
      <c r="AT74" s="277" t="s">
        <v>536</v>
      </c>
      <c r="AU74" s="277" t="s">
        <v>22</v>
      </c>
      <c r="AV74" s="274" t="s">
        <v>22</v>
      </c>
      <c r="AW74" s="274" t="s">
        <v>538</v>
      </c>
      <c r="AX74" s="274" t="s">
        <v>528</v>
      </c>
      <c r="AY74" s="277" t="s">
        <v>529</v>
      </c>
    </row>
    <row r="75" spans="1:65" s="274" customFormat="1" ht="33.75">
      <c r="B75" s="275"/>
      <c r="D75" s="276" t="s">
        <v>536</v>
      </c>
      <c r="E75" s="277" t="s">
        <v>582</v>
      </c>
      <c r="F75" s="278" t="s">
        <v>583</v>
      </c>
      <c r="H75" s="279">
        <v>0.80100000000000005</v>
      </c>
      <c r="L75" s="275"/>
      <c r="M75" s="280"/>
      <c r="N75" s="281"/>
      <c r="O75" s="281"/>
      <c r="P75" s="281"/>
      <c r="Q75" s="281"/>
      <c r="R75" s="281"/>
      <c r="S75" s="281"/>
      <c r="T75" s="282"/>
      <c r="AT75" s="277" t="s">
        <v>536</v>
      </c>
      <c r="AU75" s="277" t="s">
        <v>22</v>
      </c>
      <c r="AV75" s="274" t="s">
        <v>22</v>
      </c>
      <c r="AW75" s="274" t="s">
        <v>538</v>
      </c>
      <c r="AX75" s="274" t="s">
        <v>528</v>
      </c>
      <c r="AY75" s="277" t="s">
        <v>529</v>
      </c>
    </row>
    <row r="76" spans="1:65" s="274" customFormat="1" ht="11.25">
      <c r="B76" s="275"/>
      <c r="D76" s="276" t="s">
        <v>536</v>
      </c>
      <c r="E76" s="277" t="s">
        <v>584</v>
      </c>
      <c r="F76" s="278" t="s">
        <v>585</v>
      </c>
      <c r="H76" s="279">
        <v>0.1</v>
      </c>
      <c r="L76" s="275"/>
      <c r="M76" s="280"/>
      <c r="N76" s="281"/>
      <c r="O76" s="281"/>
      <c r="P76" s="281"/>
      <c r="Q76" s="281"/>
      <c r="R76" s="281"/>
      <c r="S76" s="281"/>
      <c r="T76" s="282"/>
      <c r="AT76" s="277" t="s">
        <v>536</v>
      </c>
      <c r="AU76" s="277" t="s">
        <v>22</v>
      </c>
      <c r="AV76" s="274" t="s">
        <v>22</v>
      </c>
      <c r="AW76" s="274" t="s">
        <v>538</v>
      </c>
      <c r="AX76" s="274" t="s">
        <v>528</v>
      </c>
      <c r="AY76" s="277" t="s">
        <v>529</v>
      </c>
    </row>
    <row r="77" spans="1:65" s="274" customFormat="1" ht="11.25">
      <c r="B77" s="275"/>
      <c r="D77" s="276" t="s">
        <v>536</v>
      </c>
      <c r="E77" s="277" t="s">
        <v>586</v>
      </c>
      <c r="F77" s="278" t="s">
        <v>587</v>
      </c>
      <c r="H77" s="279">
        <v>7.2</v>
      </c>
      <c r="L77" s="275"/>
      <c r="M77" s="280"/>
      <c r="N77" s="281"/>
      <c r="O77" s="281"/>
      <c r="P77" s="281"/>
      <c r="Q77" s="281"/>
      <c r="R77" s="281"/>
      <c r="S77" s="281"/>
      <c r="T77" s="282"/>
      <c r="AT77" s="277" t="s">
        <v>536</v>
      </c>
      <c r="AU77" s="277" t="s">
        <v>22</v>
      </c>
      <c r="AV77" s="274" t="s">
        <v>22</v>
      </c>
      <c r="AW77" s="274" t="s">
        <v>538</v>
      </c>
      <c r="AX77" s="274" t="s">
        <v>528</v>
      </c>
      <c r="AY77" s="277" t="s">
        <v>529</v>
      </c>
    </row>
    <row r="78" spans="1:65" s="274" customFormat="1" ht="11.25">
      <c r="B78" s="275"/>
      <c r="D78" s="276" t="s">
        <v>536</v>
      </c>
      <c r="E78" s="277" t="s">
        <v>588</v>
      </c>
      <c r="F78" s="278" t="s">
        <v>589</v>
      </c>
      <c r="H78" s="279">
        <v>2</v>
      </c>
      <c r="L78" s="275"/>
      <c r="M78" s="280"/>
      <c r="N78" s="281"/>
      <c r="O78" s="281"/>
      <c r="P78" s="281"/>
      <c r="Q78" s="281"/>
      <c r="R78" s="281"/>
      <c r="S78" s="281"/>
      <c r="T78" s="282"/>
      <c r="AT78" s="277" t="s">
        <v>536</v>
      </c>
      <c r="AU78" s="277" t="s">
        <v>22</v>
      </c>
      <c r="AV78" s="274" t="s">
        <v>22</v>
      </c>
      <c r="AW78" s="274" t="s">
        <v>538</v>
      </c>
      <c r="AX78" s="274" t="s">
        <v>528</v>
      </c>
      <c r="AY78" s="277" t="s">
        <v>529</v>
      </c>
    </row>
    <row r="79" spans="1:65" s="203" customFormat="1" ht="14.45" customHeight="1">
      <c r="A79" s="199"/>
      <c r="B79" s="260"/>
      <c r="C79" s="261" t="s">
        <v>24</v>
      </c>
      <c r="D79" s="261" t="s">
        <v>531</v>
      </c>
      <c r="E79" s="262" t="s">
        <v>590</v>
      </c>
      <c r="F79" s="263" t="s">
        <v>591</v>
      </c>
      <c r="G79" s="264" t="s">
        <v>40</v>
      </c>
      <c r="H79" s="265">
        <v>451.2</v>
      </c>
      <c r="I79" s="266"/>
      <c r="J79" s="266">
        <f>ROUND(I79*H79,2)</f>
        <v>0</v>
      </c>
      <c r="K79" s="267"/>
      <c r="L79" s="204"/>
      <c r="M79" s="268" t="s">
        <v>518</v>
      </c>
      <c r="N79" s="269" t="s">
        <v>534</v>
      </c>
      <c r="O79" s="270">
        <v>0</v>
      </c>
      <c r="P79" s="270">
        <f>O79*H79</f>
        <v>0</v>
      </c>
      <c r="Q79" s="270">
        <v>0</v>
      </c>
      <c r="R79" s="270">
        <f>Q79*H79</f>
        <v>0</v>
      </c>
      <c r="S79" s="270">
        <v>0</v>
      </c>
      <c r="T79" s="271">
        <f>S79*H79</f>
        <v>0</v>
      </c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  <c r="AR79" s="272" t="s">
        <v>24</v>
      </c>
      <c r="AT79" s="272" t="s">
        <v>531</v>
      </c>
      <c r="AU79" s="272" t="s">
        <v>22</v>
      </c>
      <c r="AY79" s="215" t="s">
        <v>529</v>
      </c>
      <c r="BE79" s="273">
        <f>IF(N79="základní",J79,0)</f>
        <v>0</v>
      </c>
      <c r="BF79" s="273">
        <f>IF(N79="snížená",J79,0)</f>
        <v>0</v>
      </c>
      <c r="BG79" s="273">
        <f>IF(N79="zákl. přenesená",J79,0)</f>
        <v>0</v>
      </c>
      <c r="BH79" s="273">
        <f>IF(N79="sníž. přenesená",J79,0)</f>
        <v>0</v>
      </c>
      <c r="BI79" s="273">
        <f>IF(N79="nulová",J79,0)</f>
        <v>0</v>
      </c>
      <c r="BJ79" s="215" t="s">
        <v>21</v>
      </c>
      <c r="BK79" s="273">
        <f>ROUND(I79*H79,2)</f>
        <v>0</v>
      </c>
      <c r="BL79" s="215" t="s">
        <v>24</v>
      </c>
      <c r="BM79" s="272" t="s">
        <v>592</v>
      </c>
    </row>
    <row r="80" spans="1:65" s="274" customFormat="1" ht="11.25">
      <c r="B80" s="275"/>
      <c r="D80" s="276" t="s">
        <v>536</v>
      </c>
      <c r="E80" s="277" t="s">
        <v>593</v>
      </c>
      <c r="F80" s="278" t="s">
        <v>594</v>
      </c>
      <c r="H80" s="279">
        <v>451.2</v>
      </c>
      <c r="L80" s="275"/>
      <c r="M80" s="280"/>
      <c r="N80" s="281"/>
      <c r="O80" s="281"/>
      <c r="P80" s="281"/>
      <c r="Q80" s="281"/>
      <c r="R80" s="281"/>
      <c r="S80" s="281"/>
      <c r="T80" s="282"/>
      <c r="AT80" s="277" t="s">
        <v>536</v>
      </c>
      <c r="AU80" s="277" t="s">
        <v>22</v>
      </c>
      <c r="AV80" s="274" t="s">
        <v>22</v>
      </c>
      <c r="AW80" s="274" t="s">
        <v>538</v>
      </c>
      <c r="AX80" s="274" t="s">
        <v>21</v>
      </c>
      <c r="AY80" s="277" t="s">
        <v>529</v>
      </c>
    </row>
    <row r="81" spans="1:65" s="203" customFormat="1" ht="24.2" customHeight="1">
      <c r="A81" s="199"/>
      <c r="B81" s="260"/>
      <c r="C81" s="261" t="s">
        <v>25</v>
      </c>
      <c r="D81" s="261" t="s">
        <v>531</v>
      </c>
      <c r="E81" s="262" t="s">
        <v>595</v>
      </c>
      <c r="F81" s="263" t="s">
        <v>596</v>
      </c>
      <c r="G81" s="264" t="s">
        <v>40</v>
      </c>
      <c r="H81" s="265">
        <v>451.2</v>
      </c>
      <c r="I81" s="266"/>
      <c r="J81" s="266">
        <f>ROUND(I81*H81,2)</f>
        <v>0</v>
      </c>
      <c r="K81" s="267"/>
      <c r="L81" s="204"/>
      <c r="M81" s="268" t="s">
        <v>518</v>
      </c>
      <c r="N81" s="269" t="s">
        <v>534</v>
      </c>
      <c r="O81" s="270">
        <v>0</v>
      </c>
      <c r="P81" s="270">
        <f>O81*H81</f>
        <v>0</v>
      </c>
      <c r="Q81" s="270">
        <v>0</v>
      </c>
      <c r="R81" s="270">
        <f>Q81*H81</f>
        <v>0</v>
      </c>
      <c r="S81" s="270">
        <v>0</v>
      </c>
      <c r="T81" s="271">
        <f>S81*H81</f>
        <v>0</v>
      </c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  <c r="AR81" s="272" t="s">
        <v>24</v>
      </c>
      <c r="AT81" s="272" t="s">
        <v>531</v>
      </c>
      <c r="AU81" s="272" t="s">
        <v>22</v>
      </c>
      <c r="AY81" s="215" t="s">
        <v>529</v>
      </c>
      <c r="BE81" s="273">
        <f>IF(N81="základní",J81,0)</f>
        <v>0</v>
      </c>
      <c r="BF81" s="273">
        <f>IF(N81="snížená",J81,0)</f>
        <v>0</v>
      </c>
      <c r="BG81" s="273">
        <f>IF(N81="zákl. přenesená",J81,0)</f>
        <v>0</v>
      </c>
      <c r="BH81" s="273">
        <f>IF(N81="sníž. přenesená",J81,0)</f>
        <v>0</v>
      </c>
      <c r="BI81" s="273">
        <f>IF(N81="nulová",J81,0)</f>
        <v>0</v>
      </c>
      <c r="BJ81" s="215" t="s">
        <v>21</v>
      </c>
      <c r="BK81" s="273">
        <f>ROUND(I81*H81,2)</f>
        <v>0</v>
      </c>
      <c r="BL81" s="215" t="s">
        <v>24</v>
      </c>
      <c r="BM81" s="272" t="s">
        <v>597</v>
      </c>
    </row>
    <row r="82" spans="1:65" s="274" customFormat="1" ht="11.25">
      <c r="B82" s="275"/>
      <c r="D82" s="276" t="s">
        <v>536</v>
      </c>
      <c r="E82" s="277" t="s">
        <v>518</v>
      </c>
      <c r="F82" s="278" t="s">
        <v>593</v>
      </c>
      <c r="H82" s="279">
        <v>451.2</v>
      </c>
      <c r="L82" s="275"/>
      <c r="M82" s="280"/>
      <c r="N82" s="281"/>
      <c r="O82" s="281"/>
      <c r="P82" s="281"/>
      <c r="Q82" s="281"/>
      <c r="R82" s="281"/>
      <c r="S82" s="281"/>
      <c r="T82" s="282"/>
      <c r="AT82" s="277" t="s">
        <v>536</v>
      </c>
      <c r="AU82" s="277" t="s">
        <v>22</v>
      </c>
      <c r="AV82" s="274" t="s">
        <v>22</v>
      </c>
      <c r="AW82" s="274" t="s">
        <v>538</v>
      </c>
      <c r="AX82" s="274" t="s">
        <v>21</v>
      </c>
      <c r="AY82" s="277" t="s">
        <v>529</v>
      </c>
    </row>
    <row r="83" spans="1:65" s="203" customFormat="1" ht="24.2" customHeight="1">
      <c r="A83" s="199"/>
      <c r="B83" s="260"/>
      <c r="C83" s="340" t="s">
        <v>26</v>
      </c>
      <c r="D83" s="342" t="s">
        <v>531</v>
      </c>
      <c r="E83" s="343" t="s">
        <v>598</v>
      </c>
      <c r="F83" s="344" t="s">
        <v>599</v>
      </c>
      <c r="G83" s="345" t="s">
        <v>45</v>
      </c>
      <c r="H83" s="346">
        <f>H84+2*191</f>
        <v>390.00099999999998</v>
      </c>
      <c r="I83" s="347"/>
      <c r="J83" s="347">
        <f>ROUND(I83*H83,2)</f>
        <v>0</v>
      </c>
      <c r="K83" s="267"/>
      <c r="L83" s="335">
        <f>261-8-70</f>
        <v>183</v>
      </c>
      <c r="M83" s="268" t="s">
        <v>518</v>
      </c>
      <c r="N83" s="269" t="s">
        <v>534</v>
      </c>
      <c r="O83" s="270">
        <v>7.8E-2</v>
      </c>
      <c r="P83" s="270">
        <f>O83*H83</f>
        <v>30.420077999999997</v>
      </c>
      <c r="Q83" s="270">
        <v>0</v>
      </c>
      <c r="R83" s="270">
        <f>Q83*H83</f>
        <v>0</v>
      </c>
      <c r="S83" s="270">
        <v>0</v>
      </c>
      <c r="T83" s="271">
        <f>S83*H83</f>
        <v>0</v>
      </c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R83" s="272" t="s">
        <v>24</v>
      </c>
      <c r="AT83" s="272" t="s">
        <v>531</v>
      </c>
      <c r="AU83" s="272" t="s">
        <v>22</v>
      </c>
      <c r="AY83" s="215" t="s">
        <v>529</v>
      </c>
      <c r="BE83" s="273">
        <f>IF(N83="základní",J83,0)</f>
        <v>0</v>
      </c>
      <c r="BF83" s="273">
        <f>IF(N83="snížená",J83,0)</f>
        <v>0</v>
      </c>
      <c r="BG83" s="273">
        <f>IF(N83="zákl. přenesená",J83,0)</f>
        <v>0</v>
      </c>
      <c r="BH83" s="273">
        <f>IF(N83="sníž. přenesená",J83,0)</f>
        <v>0</v>
      </c>
      <c r="BI83" s="273">
        <f>IF(N83="nulová",J83,0)</f>
        <v>0</v>
      </c>
      <c r="BJ83" s="215" t="s">
        <v>21</v>
      </c>
      <c r="BK83" s="273">
        <f>ROUND(I83*H83,2)</f>
        <v>0</v>
      </c>
      <c r="BL83" s="215" t="s">
        <v>24</v>
      </c>
      <c r="BM83" s="272" t="s">
        <v>600</v>
      </c>
    </row>
    <row r="84" spans="1:65" s="274" customFormat="1" ht="11.25">
      <c r="B84" s="275"/>
      <c r="C84" s="341"/>
      <c r="D84" s="348" t="s">
        <v>536</v>
      </c>
      <c r="E84" s="349" t="s">
        <v>601</v>
      </c>
      <c r="F84" s="350" t="s">
        <v>602</v>
      </c>
      <c r="G84" s="351"/>
      <c r="H84" s="352">
        <v>8.0009999999999994</v>
      </c>
      <c r="I84" s="351"/>
      <c r="J84" s="351"/>
      <c r="L84" s="275"/>
      <c r="M84" s="280"/>
      <c r="N84" s="281"/>
      <c r="O84" s="281"/>
      <c r="P84" s="281"/>
      <c r="Q84" s="281"/>
      <c r="R84" s="281"/>
      <c r="S84" s="281"/>
      <c r="T84" s="282"/>
      <c r="AT84" s="277" t="s">
        <v>536</v>
      </c>
      <c r="AU84" s="277" t="s">
        <v>22</v>
      </c>
      <c r="AV84" s="274" t="s">
        <v>22</v>
      </c>
      <c r="AW84" s="274" t="s">
        <v>538</v>
      </c>
      <c r="AX84" s="274" t="s">
        <v>21</v>
      </c>
      <c r="AY84" s="277" t="s">
        <v>529</v>
      </c>
    </row>
    <row r="85" spans="1:65" s="203" customFormat="1" ht="24.2" customHeight="1">
      <c r="A85" s="199"/>
      <c r="B85" s="260"/>
      <c r="C85" s="340" t="s">
        <v>27</v>
      </c>
      <c r="D85" s="342" t="s">
        <v>531</v>
      </c>
      <c r="E85" s="343" t="s">
        <v>603</v>
      </c>
      <c r="F85" s="344" t="s">
        <v>604</v>
      </c>
      <c r="G85" s="345" t="s">
        <v>45</v>
      </c>
      <c r="H85" s="346">
        <f>H83</f>
        <v>390.00099999999998</v>
      </c>
      <c r="I85" s="347"/>
      <c r="J85" s="347">
        <f>ROUND(I85*H85,2)</f>
        <v>0</v>
      </c>
      <c r="K85" s="267"/>
      <c r="L85" s="335">
        <f>261-8-70</f>
        <v>183</v>
      </c>
      <c r="M85" s="268" t="s">
        <v>518</v>
      </c>
      <c r="N85" s="269" t="s">
        <v>534</v>
      </c>
      <c r="O85" s="270">
        <v>0.19700000000000001</v>
      </c>
      <c r="P85" s="270">
        <f>O85*H85</f>
        <v>76.830196999999998</v>
      </c>
      <c r="Q85" s="270">
        <v>0</v>
      </c>
      <c r="R85" s="270">
        <f>Q85*H85</f>
        <v>0</v>
      </c>
      <c r="S85" s="270">
        <v>0</v>
      </c>
      <c r="T85" s="271">
        <f>S85*H85</f>
        <v>0</v>
      </c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R85" s="272" t="s">
        <v>24</v>
      </c>
      <c r="AT85" s="272" t="s">
        <v>531</v>
      </c>
      <c r="AU85" s="272" t="s">
        <v>22</v>
      </c>
      <c r="AY85" s="215" t="s">
        <v>529</v>
      </c>
      <c r="BE85" s="273">
        <f>IF(N85="základní",J85,0)</f>
        <v>0</v>
      </c>
      <c r="BF85" s="273">
        <f>IF(N85="snížená",J85,0)</f>
        <v>0</v>
      </c>
      <c r="BG85" s="273">
        <f>IF(N85="zákl. přenesená",J85,0)</f>
        <v>0</v>
      </c>
      <c r="BH85" s="273">
        <f>IF(N85="sníž. přenesená",J85,0)</f>
        <v>0</v>
      </c>
      <c r="BI85" s="273">
        <f>IF(N85="nulová",J85,0)</f>
        <v>0</v>
      </c>
      <c r="BJ85" s="215" t="s">
        <v>21</v>
      </c>
      <c r="BK85" s="273">
        <f>ROUND(I85*H85,2)</f>
        <v>0</v>
      </c>
      <c r="BL85" s="215" t="s">
        <v>24</v>
      </c>
      <c r="BM85" s="272" t="s">
        <v>605</v>
      </c>
    </row>
    <row r="86" spans="1:65" s="274" customFormat="1" ht="11.25">
      <c r="B86" s="275"/>
      <c r="C86" s="341"/>
      <c r="D86" s="276" t="s">
        <v>536</v>
      </c>
      <c r="E86" s="277" t="s">
        <v>518</v>
      </c>
      <c r="F86" s="278" t="s">
        <v>601</v>
      </c>
      <c r="H86" s="279">
        <v>8.0009999999999994</v>
      </c>
      <c r="L86" s="275"/>
      <c r="M86" s="280"/>
      <c r="N86" s="281"/>
      <c r="O86" s="281"/>
      <c r="P86" s="281"/>
      <c r="Q86" s="281"/>
      <c r="R86" s="281"/>
      <c r="S86" s="281"/>
      <c r="T86" s="282"/>
      <c r="AT86" s="277" t="s">
        <v>536</v>
      </c>
      <c r="AU86" s="277" t="s">
        <v>22</v>
      </c>
      <c r="AV86" s="274" t="s">
        <v>22</v>
      </c>
      <c r="AW86" s="274" t="s">
        <v>538</v>
      </c>
      <c r="AX86" s="274" t="s">
        <v>21</v>
      </c>
      <c r="AY86" s="277" t="s">
        <v>529</v>
      </c>
    </row>
    <row r="87" spans="1:65" s="274" customFormat="1" ht="24">
      <c r="B87" s="275"/>
      <c r="C87" s="340"/>
      <c r="D87" s="261" t="s">
        <v>107</v>
      </c>
      <c r="E87" s="262"/>
      <c r="F87" s="263" t="s">
        <v>849</v>
      </c>
      <c r="G87" s="264" t="s">
        <v>56</v>
      </c>
      <c r="H87" s="265">
        <f>191*1.6</f>
        <v>305.60000000000002</v>
      </c>
      <c r="I87" s="266"/>
      <c r="J87" s="266">
        <f>ROUND(I87*H87,2)</f>
        <v>0</v>
      </c>
      <c r="L87" s="275"/>
      <c r="M87" s="280"/>
      <c r="N87" s="281"/>
      <c r="O87" s="281"/>
      <c r="P87" s="281"/>
      <c r="Q87" s="281"/>
      <c r="R87" s="281"/>
      <c r="S87" s="281"/>
      <c r="T87" s="282"/>
      <c r="AT87" s="277"/>
      <c r="AU87" s="277"/>
      <c r="AY87" s="277"/>
    </row>
    <row r="88" spans="1:65" s="203" customFormat="1" ht="24.2" customHeight="1">
      <c r="A88" s="199"/>
      <c r="B88" s="260"/>
      <c r="C88" s="261" t="s">
        <v>28</v>
      </c>
      <c r="D88" s="261" t="s">
        <v>531</v>
      </c>
      <c r="E88" s="262" t="s">
        <v>606</v>
      </c>
      <c r="F88" s="263" t="s">
        <v>607</v>
      </c>
      <c r="G88" s="264" t="s">
        <v>56</v>
      </c>
      <c r="H88" s="265">
        <v>16.001999999999999</v>
      </c>
      <c r="I88" s="266"/>
      <c r="J88" s="266">
        <f>ROUND(I88*H88,2)</f>
        <v>0</v>
      </c>
      <c r="K88" s="267"/>
      <c r="L88" s="204"/>
      <c r="M88" s="268" t="s">
        <v>518</v>
      </c>
      <c r="N88" s="269" t="s">
        <v>534</v>
      </c>
      <c r="O88" s="270">
        <v>0</v>
      </c>
      <c r="P88" s="270">
        <f>O88*H88</f>
        <v>0</v>
      </c>
      <c r="Q88" s="270">
        <v>0</v>
      </c>
      <c r="R88" s="270">
        <f>Q88*H88</f>
        <v>0</v>
      </c>
      <c r="S88" s="270">
        <v>0</v>
      </c>
      <c r="T88" s="271">
        <f>S88*H88</f>
        <v>0</v>
      </c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R88" s="272" t="s">
        <v>24</v>
      </c>
      <c r="AT88" s="272" t="s">
        <v>531</v>
      </c>
      <c r="AU88" s="272" t="s">
        <v>22</v>
      </c>
      <c r="AY88" s="215" t="s">
        <v>529</v>
      </c>
      <c r="BE88" s="273">
        <f>IF(N88="základní",J88,0)</f>
        <v>0</v>
      </c>
      <c r="BF88" s="273">
        <f>IF(N88="snížená",J88,0)</f>
        <v>0</v>
      </c>
      <c r="BG88" s="273">
        <f>IF(N88="zákl. přenesená",J88,0)</f>
        <v>0</v>
      </c>
      <c r="BH88" s="273">
        <f>IF(N88="sníž. přenesená",J88,0)</f>
        <v>0</v>
      </c>
      <c r="BI88" s="273">
        <f>IF(N88="nulová",J88,0)</f>
        <v>0</v>
      </c>
      <c r="BJ88" s="215" t="s">
        <v>21</v>
      </c>
      <c r="BK88" s="273">
        <f>ROUND(I88*H88,2)</f>
        <v>0</v>
      </c>
      <c r="BL88" s="215" t="s">
        <v>24</v>
      </c>
      <c r="BM88" s="272" t="s">
        <v>608</v>
      </c>
    </row>
    <row r="89" spans="1:65" s="274" customFormat="1" ht="11.25">
      <c r="B89" s="275"/>
      <c r="D89" s="276" t="s">
        <v>536</v>
      </c>
      <c r="E89" s="277" t="s">
        <v>518</v>
      </c>
      <c r="F89" s="278" t="s">
        <v>609</v>
      </c>
      <c r="H89" s="279">
        <v>16.001999999999999</v>
      </c>
      <c r="L89" s="275"/>
      <c r="M89" s="280"/>
      <c r="N89" s="281"/>
      <c r="O89" s="281"/>
      <c r="P89" s="281"/>
      <c r="Q89" s="281"/>
      <c r="R89" s="281"/>
      <c r="S89" s="281"/>
      <c r="T89" s="282"/>
      <c r="AT89" s="277" t="s">
        <v>536</v>
      </c>
      <c r="AU89" s="277" t="s">
        <v>22</v>
      </c>
      <c r="AV89" s="274" t="s">
        <v>22</v>
      </c>
      <c r="AW89" s="274" t="s">
        <v>538</v>
      </c>
      <c r="AX89" s="274" t="s">
        <v>21</v>
      </c>
      <c r="AY89" s="277" t="s">
        <v>529</v>
      </c>
    </row>
    <row r="90" spans="1:65" s="203" customFormat="1" ht="24.2" customHeight="1">
      <c r="A90" s="199"/>
      <c r="B90" s="260"/>
      <c r="C90" s="261" t="s">
        <v>29</v>
      </c>
      <c r="D90" s="261" t="s">
        <v>531</v>
      </c>
      <c r="E90" s="262" t="s">
        <v>610</v>
      </c>
      <c r="F90" s="263" t="s">
        <v>611</v>
      </c>
      <c r="G90" s="264" t="s">
        <v>45</v>
      </c>
      <c r="H90" s="265">
        <v>223.136</v>
      </c>
      <c r="I90" s="266"/>
      <c r="J90" s="266">
        <f>ROUND(I90*H90,2)</f>
        <v>0</v>
      </c>
      <c r="K90" s="267"/>
      <c r="L90" s="204"/>
      <c r="M90" s="268" t="s">
        <v>518</v>
      </c>
      <c r="N90" s="269" t="s">
        <v>534</v>
      </c>
      <c r="O90" s="270">
        <v>0</v>
      </c>
      <c r="P90" s="270">
        <f>O90*H90</f>
        <v>0</v>
      </c>
      <c r="Q90" s="270">
        <v>0</v>
      </c>
      <c r="R90" s="270">
        <f>Q90*H90</f>
        <v>0</v>
      </c>
      <c r="S90" s="270">
        <v>0</v>
      </c>
      <c r="T90" s="271">
        <f>S90*H90</f>
        <v>0</v>
      </c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R90" s="272" t="s">
        <v>24</v>
      </c>
      <c r="AT90" s="272" t="s">
        <v>531</v>
      </c>
      <c r="AU90" s="272" t="s">
        <v>22</v>
      </c>
      <c r="AY90" s="215" t="s">
        <v>529</v>
      </c>
      <c r="BE90" s="273">
        <f>IF(N90="základní",J90,0)</f>
        <v>0</v>
      </c>
      <c r="BF90" s="273">
        <f>IF(N90="snížená",J90,0)</f>
        <v>0</v>
      </c>
      <c r="BG90" s="273">
        <f>IF(N90="zákl. přenesená",J90,0)</f>
        <v>0</v>
      </c>
      <c r="BH90" s="273">
        <f>IF(N90="sníž. přenesená",J90,0)</f>
        <v>0</v>
      </c>
      <c r="BI90" s="273">
        <f>IF(N90="nulová",J90,0)</f>
        <v>0</v>
      </c>
      <c r="BJ90" s="215" t="s">
        <v>21</v>
      </c>
      <c r="BK90" s="273">
        <f>ROUND(I90*H90,2)</f>
        <v>0</v>
      </c>
      <c r="BL90" s="215" t="s">
        <v>24</v>
      </c>
      <c r="BM90" s="272" t="s">
        <v>612</v>
      </c>
    </row>
    <row r="91" spans="1:65" s="203" customFormat="1" ht="19.5">
      <c r="A91" s="199"/>
      <c r="B91" s="204"/>
      <c r="C91" s="199"/>
      <c r="D91" s="276" t="s">
        <v>613</v>
      </c>
      <c r="E91" s="199"/>
      <c r="F91" s="299" t="s">
        <v>614</v>
      </c>
      <c r="G91" s="199"/>
      <c r="H91" s="199"/>
      <c r="I91" s="199"/>
      <c r="J91" s="199"/>
      <c r="K91" s="199"/>
      <c r="L91" s="204"/>
      <c r="M91" s="300"/>
      <c r="N91" s="301"/>
      <c r="O91" s="302"/>
      <c r="P91" s="302"/>
      <c r="Q91" s="302"/>
      <c r="R91" s="302"/>
      <c r="S91" s="302"/>
      <c r="T91" s="303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T91" s="215" t="s">
        <v>613</v>
      </c>
      <c r="AU91" s="215" t="s">
        <v>22</v>
      </c>
    </row>
    <row r="92" spans="1:65" s="274" customFormat="1" ht="11.25">
      <c r="B92" s="275"/>
      <c r="D92" s="276" t="s">
        <v>536</v>
      </c>
      <c r="E92" s="277" t="s">
        <v>615</v>
      </c>
      <c r="F92" s="278" t="s">
        <v>616</v>
      </c>
      <c r="H92" s="279">
        <v>223.136</v>
      </c>
      <c r="L92" s="275"/>
      <c r="M92" s="280"/>
      <c r="N92" s="281"/>
      <c r="O92" s="281"/>
      <c r="P92" s="281"/>
      <c r="Q92" s="281"/>
      <c r="R92" s="281"/>
      <c r="S92" s="281"/>
      <c r="T92" s="282"/>
      <c r="AT92" s="277" t="s">
        <v>536</v>
      </c>
      <c r="AU92" s="277" t="s">
        <v>22</v>
      </c>
      <c r="AV92" s="274" t="s">
        <v>22</v>
      </c>
      <c r="AW92" s="274" t="s">
        <v>538</v>
      </c>
      <c r="AX92" s="274" t="s">
        <v>21</v>
      </c>
      <c r="AY92" s="277" t="s">
        <v>529</v>
      </c>
    </row>
    <row r="93" spans="1:65" s="203" customFormat="1" ht="24.2" customHeight="1">
      <c r="A93" s="199"/>
      <c r="B93" s="260"/>
      <c r="C93" s="261" t="s">
        <v>30</v>
      </c>
      <c r="D93" s="261" t="s">
        <v>531</v>
      </c>
      <c r="E93" s="262" t="s">
        <v>617</v>
      </c>
      <c r="F93" s="263" t="s">
        <v>618</v>
      </c>
      <c r="G93" s="264" t="s">
        <v>45</v>
      </c>
      <c r="H93" s="265">
        <v>30.699000000000002</v>
      </c>
      <c r="I93" s="266"/>
      <c r="J93" s="266">
        <f>ROUND(I93*H93,2)</f>
        <v>0</v>
      </c>
      <c r="K93" s="267"/>
      <c r="L93" s="204"/>
      <c r="M93" s="268" t="s">
        <v>518</v>
      </c>
      <c r="N93" s="269" t="s">
        <v>534</v>
      </c>
      <c r="O93" s="270">
        <v>0</v>
      </c>
      <c r="P93" s="270">
        <f>O93*H93</f>
        <v>0</v>
      </c>
      <c r="Q93" s="270">
        <v>0</v>
      </c>
      <c r="R93" s="270">
        <f>Q93*H93</f>
        <v>0</v>
      </c>
      <c r="S93" s="270">
        <v>0</v>
      </c>
      <c r="T93" s="271">
        <f>S93*H93</f>
        <v>0</v>
      </c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R93" s="272" t="s">
        <v>24</v>
      </c>
      <c r="AT93" s="272" t="s">
        <v>531</v>
      </c>
      <c r="AU93" s="272" t="s">
        <v>22</v>
      </c>
      <c r="AY93" s="215" t="s">
        <v>529</v>
      </c>
      <c r="BE93" s="273">
        <f>IF(N93="základní",J93,0)</f>
        <v>0</v>
      </c>
      <c r="BF93" s="273">
        <f>IF(N93="snížená",J93,0)</f>
        <v>0</v>
      </c>
      <c r="BG93" s="273">
        <f>IF(N93="zákl. přenesená",J93,0)</f>
        <v>0</v>
      </c>
      <c r="BH93" s="273">
        <f>IF(N93="sníž. přenesená",J93,0)</f>
        <v>0</v>
      </c>
      <c r="BI93" s="273">
        <f>IF(N93="nulová",J93,0)</f>
        <v>0</v>
      </c>
      <c r="BJ93" s="215" t="s">
        <v>21</v>
      </c>
      <c r="BK93" s="273">
        <f>ROUND(I93*H93,2)</f>
        <v>0</v>
      </c>
      <c r="BL93" s="215" t="s">
        <v>24</v>
      </c>
      <c r="BM93" s="272" t="s">
        <v>619</v>
      </c>
    </row>
    <row r="94" spans="1:65" s="203" customFormat="1" ht="19.5">
      <c r="A94" s="199"/>
      <c r="B94" s="204"/>
      <c r="C94" s="199"/>
      <c r="D94" s="276" t="s">
        <v>613</v>
      </c>
      <c r="E94" s="199"/>
      <c r="F94" s="299" t="s">
        <v>620</v>
      </c>
      <c r="G94" s="199"/>
      <c r="H94" s="199"/>
      <c r="I94" s="199"/>
      <c r="J94" s="199"/>
      <c r="K94" s="199"/>
      <c r="L94" s="204"/>
      <c r="M94" s="300"/>
      <c r="N94" s="301"/>
      <c r="O94" s="302"/>
      <c r="P94" s="302"/>
      <c r="Q94" s="302"/>
      <c r="R94" s="302"/>
      <c r="S94" s="302"/>
      <c r="T94" s="303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T94" s="215" t="s">
        <v>613</v>
      </c>
      <c r="AU94" s="215" t="s">
        <v>22</v>
      </c>
    </row>
    <row r="95" spans="1:65" s="274" customFormat="1" ht="11.25">
      <c r="B95" s="275"/>
      <c r="D95" s="276" t="s">
        <v>536</v>
      </c>
      <c r="E95" s="277" t="s">
        <v>518</v>
      </c>
      <c r="F95" s="278" t="s">
        <v>574</v>
      </c>
      <c r="H95" s="279">
        <v>30.699000000000002</v>
      </c>
      <c r="L95" s="275"/>
      <c r="M95" s="280"/>
      <c r="N95" s="281"/>
      <c r="O95" s="281"/>
      <c r="P95" s="281"/>
      <c r="Q95" s="281"/>
      <c r="R95" s="281"/>
      <c r="S95" s="281"/>
      <c r="T95" s="282"/>
      <c r="AT95" s="277" t="s">
        <v>536</v>
      </c>
      <c r="AU95" s="277" t="s">
        <v>22</v>
      </c>
      <c r="AV95" s="274" t="s">
        <v>22</v>
      </c>
      <c r="AW95" s="274" t="s">
        <v>538</v>
      </c>
      <c r="AX95" s="274" t="s">
        <v>21</v>
      </c>
      <c r="AY95" s="277" t="s">
        <v>529</v>
      </c>
    </row>
    <row r="96" spans="1:65" s="247" customFormat="1" ht="22.9" customHeight="1">
      <c r="B96" s="248"/>
      <c r="C96" s="353"/>
      <c r="D96" s="354" t="s">
        <v>526</v>
      </c>
      <c r="E96" s="355" t="s">
        <v>23</v>
      </c>
      <c r="F96" s="355" t="s">
        <v>621</v>
      </c>
      <c r="G96" s="353"/>
      <c r="H96" s="353"/>
      <c r="I96" s="353"/>
      <c r="J96" s="356">
        <f>SUM(J97:J100)</f>
        <v>0</v>
      </c>
      <c r="L96" s="248"/>
      <c r="M96" s="252"/>
      <c r="N96" s="253"/>
      <c r="O96" s="253"/>
      <c r="P96" s="254">
        <f>SUM(P97:P100)</f>
        <v>16.150000000000002</v>
      </c>
      <c r="Q96" s="253"/>
      <c r="R96" s="254">
        <f>SUM(R97:R100)</f>
        <v>0</v>
      </c>
      <c r="S96" s="253"/>
      <c r="T96" s="255">
        <f>SUM(T97:T100)</f>
        <v>0</v>
      </c>
      <c r="AR96" s="249" t="s">
        <v>21</v>
      </c>
      <c r="AT96" s="256" t="s">
        <v>526</v>
      </c>
      <c r="AU96" s="256" t="s">
        <v>21</v>
      </c>
      <c r="AY96" s="249" t="s">
        <v>529</v>
      </c>
      <c r="BK96" s="257">
        <f>SUM(BK97:BK100)</f>
        <v>0</v>
      </c>
    </row>
    <row r="97" spans="1:65" s="203" customFormat="1" ht="14.45" customHeight="1">
      <c r="A97" s="199"/>
      <c r="B97" s="260"/>
      <c r="C97" s="261" t="s">
        <v>31</v>
      </c>
      <c r="D97" s="261" t="s">
        <v>531</v>
      </c>
      <c r="E97" s="262" t="s">
        <v>622</v>
      </c>
      <c r="F97" s="263" t="s">
        <v>623</v>
      </c>
      <c r="G97" s="264" t="s">
        <v>252</v>
      </c>
      <c r="H97" s="265">
        <v>60</v>
      </c>
      <c r="I97" s="266"/>
      <c r="J97" s="266">
        <f>ROUND(I97*H97,2)</f>
        <v>0</v>
      </c>
      <c r="K97" s="267"/>
      <c r="L97" s="204"/>
      <c r="M97" s="268" t="s">
        <v>518</v>
      </c>
      <c r="N97" s="269" t="s">
        <v>534</v>
      </c>
      <c r="O97" s="270">
        <v>8.5000000000000006E-2</v>
      </c>
      <c r="P97" s="270">
        <f>O97*H97</f>
        <v>5.1000000000000005</v>
      </c>
      <c r="Q97" s="270">
        <v>0</v>
      </c>
      <c r="R97" s="270">
        <f>Q97*H97</f>
        <v>0</v>
      </c>
      <c r="S97" s="270">
        <v>0</v>
      </c>
      <c r="T97" s="271">
        <f>S97*H97</f>
        <v>0</v>
      </c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R97" s="272" t="s">
        <v>24</v>
      </c>
      <c r="AT97" s="272" t="s">
        <v>531</v>
      </c>
      <c r="AU97" s="272" t="s">
        <v>22</v>
      </c>
      <c r="AY97" s="215" t="s">
        <v>529</v>
      </c>
      <c r="BE97" s="273">
        <f>IF(N97="základní",J97,0)</f>
        <v>0</v>
      </c>
      <c r="BF97" s="273">
        <f>IF(N97="snížená",J97,0)</f>
        <v>0</v>
      </c>
      <c r="BG97" s="273">
        <f>IF(N97="zákl. přenesená",J97,0)</f>
        <v>0</v>
      </c>
      <c r="BH97" s="273">
        <f>IF(N97="sníž. přenesená",J97,0)</f>
        <v>0</v>
      </c>
      <c r="BI97" s="273">
        <f>IF(N97="nulová",J97,0)</f>
        <v>0</v>
      </c>
      <c r="BJ97" s="215" t="s">
        <v>21</v>
      </c>
      <c r="BK97" s="273">
        <f>ROUND(I97*H97,2)</f>
        <v>0</v>
      </c>
      <c r="BL97" s="215" t="s">
        <v>24</v>
      </c>
      <c r="BM97" s="272" t="s">
        <v>624</v>
      </c>
    </row>
    <row r="98" spans="1:65" s="274" customFormat="1" ht="11.25">
      <c r="B98" s="275"/>
      <c r="D98" s="276" t="s">
        <v>536</v>
      </c>
      <c r="E98" s="277" t="s">
        <v>518</v>
      </c>
      <c r="F98" s="278" t="s">
        <v>564</v>
      </c>
      <c r="H98" s="279">
        <v>60</v>
      </c>
      <c r="L98" s="275"/>
      <c r="M98" s="280"/>
      <c r="N98" s="281"/>
      <c r="O98" s="281"/>
      <c r="P98" s="281"/>
      <c r="Q98" s="281"/>
      <c r="R98" s="281"/>
      <c r="S98" s="281"/>
      <c r="T98" s="282"/>
      <c r="AT98" s="277" t="s">
        <v>536</v>
      </c>
      <c r="AU98" s="277" t="s">
        <v>22</v>
      </c>
      <c r="AV98" s="274" t="s">
        <v>22</v>
      </c>
      <c r="AW98" s="274" t="s">
        <v>538</v>
      </c>
      <c r="AX98" s="274" t="s">
        <v>21</v>
      </c>
      <c r="AY98" s="277" t="s">
        <v>529</v>
      </c>
    </row>
    <row r="99" spans="1:65" s="203" customFormat="1" ht="14.45" customHeight="1">
      <c r="A99" s="199"/>
      <c r="B99" s="260"/>
      <c r="C99" s="261" t="s">
        <v>32</v>
      </c>
      <c r="D99" s="261" t="s">
        <v>531</v>
      </c>
      <c r="E99" s="262" t="s">
        <v>625</v>
      </c>
      <c r="F99" s="263" t="s">
        <v>626</v>
      </c>
      <c r="G99" s="264" t="s">
        <v>252</v>
      </c>
      <c r="H99" s="265">
        <v>50</v>
      </c>
      <c r="I99" s="266"/>
      <c r="J99" s="266">
        <f>ROUND(I99*H99,2)</f>
        <v>0</v>
      </c>
      <c r="K99" s="267"/>
      <c r="L99" s="204"/>
      <c r="M99" s="268" t="s">
        <v>518</v>
      </c>
      <c r="N99" s="269" t="s">
        <v>534</v>
      </c>
      <c r="O99" s="270">
        <v>0.221</v>
      </c>
      <c r="P99" s="270">
        <f>O99*H99</f>
        <v>11.05</v>
      </c>
      <c r="Q99" s="270">
        <v>0</v>
      </c>
      <c r="R99" s="270">
        <f>Q99*H99</f>
        <v>0</v>
      </c>
      <c r="S99" s="270">
        <v>0</v>
      </c>
      <c r="T99" s="271">
        <f>S99*H99</f>
        <v>0</v>
      </c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R99" s="272" t="s">
        <v>24</v>
      </c>
      <c r="AT99" s="272" t="s">
        <v>531</v>
      </c>
      <c r="AU99" s="272" t="s">
        <v>22</v>
      </c>
      <c r="AY99" s="215" t="s">
        <v>529</v>
      </c>
      <c r="BE99" s="273">
        <f>IF(N99="základní",J99,0)</f>
        <v>0</v>
      </c>
      <c r="BF99" s="273">
        <f>IF(N99="snížená",J99,0)</f>
        <v>0</v>
      </c>
      <c r="BG99" s="273">
        <f>IF(N99="zákl. přenesená",J99,0)</f>
        <v>0</v>
      </c>
      <c r="BH99" s="273">
        <f>IF(N99="sníž. přenesená",J99,0)</f>
        <v>0</v>
      </c>
      <c r="BI99" s="273">
        <f>IF(N99="nulová",J99,0)</f>
        <v>0</v>
      </c>
      <c r="BJ99" s="215" t="s">
        <v>21</v>
      </c>
      <c r="BK99" s="273">
        <f>ROUND(I99*H99,2)</f>
        <v>0</v>
      </c>
      <c r="BL99" s="215" t="s">
        <v>24</v>
      </c>
      <c r="BM99" s="272" t="s">
        <v>627</v>
      </c>
    </row>
    <row r="100" spans="1:65" s="274" customFormat="1" ht="11.25">
      <c r="B100" s="275"/>
      <c r="D100" s="276" t="s">
        <v>536</v>
      </c>
      <c r="E100" s="277" t="s">
        <v>518</v>
      </c>
      <c r="F100" s="278" t="s">
        <v>628</v>
      </c>
      <c r="H100" s="279">
        <v>50</v>
      </c>
      <c r="L100" s="275"/>
      <c r="M100" s="280"/>
      <c r="N100" s="281"/>
      <c r="O100" s="281"/>
      <c r="P100" s="281"/>
      <c r="Q100" s="281"/>
      <c r="R100" s="281"/>
      <c r="S100" s="281"/>
      <c r="T100" s="282"/>
      <c r="AT100" s="277" t="s">
        <v>536</v>
      </c>
      <c r="AU100" s="277" t="s">
        <v>22</v>
      </c>
      <c r="AV100" s="274" t="s">
        <v>22</v>
      </c>
      <c r="AW100" s="274" t="s">
        <v>538</v>
      </c>
      <c r="AX100" s="274" t="s">
        <v>21</v>
      </c>
      <c r="AY100" s="277" t="s">
        <v>529</v>
      </c>
    </row>
    <row r="101" spans="1:65" s="247" customFormat="1" ht="22.9" customHeight="1">
      <c r="B101" s="248"/>
      <c r="C101" s="353"/>
      <c r="D101" s="354" t="s">
        <v>526</v>
      </c>
      <c r="E101" s="355" t="s">
        <v>24</v>
      </c>
      <c r="F101" s="355" t="s">
        <v>629</v>
      </c>
      <c r="G101" s="353"/>
      <c r="H101" s="353"/>
      <c r="I101" s="353"/>
      <c r="J101" s="356">
        <f>BK101</f>
        <v>0</v>
      </c>
      <c r="L101" s="248"/>
      <c r="M101" s="252"/>
      <c r="N101" s="253"/>
      <c r="O101" s="253"/>
      <c r="P101" s="254">
        <f>SUM(P102:P103)</f>
        <v>0</v>
      </c>
      <c r="Q101" s="253"/>
      <c r="R101" s="254">
        <f>SUM(R102:R103)</f>
        <v>0</v>
      </c>
      <c r="S101" s="253"/>
      <c r="T101" s="255">
        <f>SUM(T102:T103)</f>
        <v>0</v>
      </c>
      <c r="AR101" s="249" t="s">
        <v>21</v>
      </c>
      <c r="AT101" s="256" t="s">
        <v>526</v>
      </c>
      <c r="AU101" s="256" t="s">
        <v>21</v>
      </c>
      <c r="AY101" s="249" t="s">
        <v>529</v>
      </c>
      <c r="BK101" s="257">
        <f>SUM(BK102:BK103)</f>
        <v>0</v>
      </c>
    </row>
    <row r="102" spans="1:65" s="203" customFormat="1" ht="14.45" customHeight="1">
      <c r="A102" s="199"/>
      <c r="B102" s="260"/>
      <c r="C102" s="261" t="s">
        <v>33</v>
      </c>
      <c r="D102" s="261" t="s">
        <v>531</v>
      </c>
      <c r="E102" s="262" t="s">
        <v>630</v>
      </c>
      <c r="F102" s="263" t="s">
        <v>631</v>
      </c>
      <c r="G102" s="264" t="s">
        <v>45</v>
      </c>
      <c r="H102" s="265">
        <v>7.2</v>
      </c>
      <c r="I102" s="266"/>
      <c r="J102" s="266">
        <f>ROUND(I102*H102,2)</f>
        <v>0</v>
      </c>
      <c r="K102" s="267"/>
      <c r="L102" s="204"/>
      <c r="M102" s="268" t="s">
        <v>518</v>
      </c>
      <c r="N102" s="269" t="s">
        <v>534</v>
      </c>
      <c r="O102" s="270">
        <v>0</v>
      </c>
      <c r="P102" s="270">
        <f>O102*H102</f>
        <v>0</v>
      </c>
      <c r="Q102" s="270">
        <v>0</v>
      </c>
      <c r="R102" s="270">
        <f>Q102*H102</f>
        <v>0</v>
      </c>
      <c r="S102" s="270">
        <v>0</v>
      </c>
      <c r="T102" s="271">
        <f>S102*H102</f>
        <v>0</v>
      </c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R102" s="272" t="s">
        <v>24</v>
      </c>
      <c r="AT102" s="272" t="s">
        <v>531</v>
      </c>
      <c r="AU102" s="272" t="s">
        <v>22</v>
      </c>
      <c r="AY102" s="215" t="s">
        <v>529</v>
      </c>
      <c r="BE102" s="273">
        <f>IF(N102="základní",J102,0)</f>
        <v>0</v>
      </c>
      <c r="BF102" s="273">
        <f>IF(N102="snížená",J102,0)</f>
        <v>0</v>
      </c>
      <c r="BG102" s="273">
        <f>IF(N102="zákl. přenesená",J102,0)</f>
        <v>0</v>
      </c>
      <c r="BH102" s="273">
        <f>IF(N102="sníž. přenesená",J102,0)</f>
        <v>0</v>
      </c>
      <c r="BI102" s="273">
        <f>IF(N102="nulová",J102,0)</f>
        <v>0</v>
      </c>
      <c r="BJ102" s="215" t="s">
        <v>21</v>
      </c>
      <c r="BK102" s="273">
        <f>ROUND(I102*H102,2)</f>
        <v>0</v>
      </c>
      <c r="BL102" s="215" t="s">
        <v>24</v>
      </c>
      <c r="BM102" s="272" t="s">
        <v>632</v>
      </c>
    </row>
    <row r="103" spans="1:65" s="274" customFormat="1" ht="11.25">
      <c r="B103" s="275"/>
      <c r="D103" s="276" t="s">
        <v>536</v>
      </c>
      <c r="E103" s="277" t="s">
        <v>518</v>
      </c>
      <c r="F103" s="278" t="s">
        <v>586</v>
      </c>
      <c r="H103" s="279">
        <v>7.2</v>
      </c>
      <c r="L103" s="275"/>
      <c r="M103" s="280"/>
      <c r="N103" s="281"/>
      <c r="O103" s="281"/>
      <c r="P103" s="281"/>
      <c r="Q103" s="281"/>
      <c r="R103" s="281"/>
      <c r="S103" s="281"/>
      <c r="T103" s="282"/>
      <c r="AT103" s="277" t="s">
        <v>536</v>
      </c>
      <c r="AU103" s="277" t="s">
        <v>22</v>
      </c>
      <c r="AV103" s="274" t="s">
        <v>22</v>
      </c>
      <c r="AW103" s="274" t="s">
        <v>538</v>
      </c>
      <c r="AX103" s="274" t="s">
        <v>21</v>
      </c>
      <c r="AY103" s="277" t="s">
        <v>529</v>
      </c>
    </row>
    <row r="104" spans="1:65" s="247" customFormat="1" ht="22.9" customHeight="1">
      <c r="B104" s="248"/>
      <c r="C104" s="353"/>
      <c r="D104" s="354" t="s">
        <v>526</v>
      </c>
      <c r="E104" s="355" t="s">
        <v>28</v>
      </c>
      <c r="F104" s="355" t="s">
        <v>633</v>
      </c>
      <c r="G104" s="353"/>
      <c r="H104" s="353"/>
      <c r="I104" s="353"/>
      <c r="J104" s="356">
        <f>SUM(J105:J188)</f>
        <v>0</v>
      </c>
      <c r="L104" s="248"/>
      <c r="M104" s="252"/>
      <c r="N104" s="253"/>
      <c r="O104" s="253"/>
      <c r="P104" s="254">
        <f>SUM(P105:P179)</f>
        <v>168.75300000000001</v>
      </c>
      <c r="Q104" s="253"/>
      <c r="R104" s="254">
        <f>SUM(R105:R179)</f>
        <v>21.36326</v>
      </c>
      <c r="S104" s="253"/>
      <c r="T104" s="255">
        <f>SUM(T105:T179)</f>
        <v>0.30000000000000004</v>
      </c>
      <c r="AR104" s="249" t="s">
        <v>21</v>
      </c>
      <c r="AT104" s="256" t="s">
        <v>526</v>
      </c>
      <c r="AU104" s="256" t="s">
        <v>21</v>
      </c>
      <c r="AY104" s="249" t="s">
        <v>529</v>
      </c>
      <c r="BK104" s="257">
        <f>SUM(BK105:BK179)</f>
        <v>0</v>
      </c>
    </row>
    <row r="105" spans="1:65" s="203" customFormat="1" ht="24.2" customHeight="1">
      <c r="A105" s="199"/>
      <c r="B105" s="260"/>
      <c r="C105" s="261" t="s">
        <v>34</v>
      </c>
      <c r="D105" s="261" t="s">
        <v>531</v>
      </c>
      <c r="E105" s="262" t="s">
        <v>634</v>
      </c>
      <c r="F105" s="263" t="s">
        <v>635</v>
      </c>
      <c r="G105" s="264" t="s">
        <v>252</v>
      </c>
      <c r="H105" s="265">
        <v>6</v>
      </c>
      <c r="I105" s="266"/>
      <c r="J105" s="266">
        <f>ROUND(I105*H105,2)</f>
        <v>0</v>
      </c>
      <c r="K105" s="267"/>
      <c r="L105" s="204"/>
      <c r="M105" s="268" t="s">
        <v>518</v>
      </c>
      <c r="N105" s="269" t="s">
        <v>534</v>
      </c>
      <c r="O105" s="270">
        <v>0.23300000000000001</v>
      </c>
      <c r="P105" s="270">
        <f>O105*H105</f>
        <v>1.3980000000000001</v>
      </c>
      <c r="Q105" s="270">
        <v>3.0000000000000001E-5</v>
      </c>
      <c r="R105" s="270">
        <f>Q105*H105</f>
        <v>1.8000000000000001E-4</v>
      </c>
      <c r="S105" s="270">
        <v>0</v>
      </c>
      <c r="T105" s="271">
        <f>S105*H105</f>
        <v>0</v>
      </c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R105" s="272" t="s">
        <v>24</v>
      </c>
      <c r="AT105" s="272" t="s">
        <v>531</v>
      </c>
      <c r="AU105" s="272" t="s">
        <v>22</v>
      </c>
      <c r="AY105" s="215" t="s">
        <v>529</v>
      </c>
      <c r="BE105" s="273">
        <f>IF(N105="základní",J105,0)</f>
        <v>0</v>
      </c>
      <c r="BF105" s="273">
        <f>IF(N105="snížená",J105,0)</f>
        <v>0</v>
      </c>
      <c r="BG105" s="273">
        <f>IF(N105="zákl. přenesená",J105,0)</f>
        <v>0</v>
      </c>
      <c r="BH105" s="273">
        <f>IF(N105="sníž. přenesená",J105,0)</f>
        <v>0</v>
      </c>
      <c r="BI105" s="273">
        <f>IF(N105="nulová",J105,0)</f>
        <v>0</v>
      </c>
      <c r="BJ105" s="215" t="s">
        <v>21</v>
      </c>
      <c r="BK105" s="273">
        <f>ROUND(I105*H105,2)</f>
        <v>0</v>
      </c>
      <c r="BL105" s="215" t="s">
        <v>24</v>
      </c>
      <c r="BM105" s="272" t="s">
        <v>636</v>
      </c>
    </row>
    <row r="106" spans="1:65" s="274" customFormat="1" ht="11.25">
      <c r="B106" s="275"/>
      <c r="D106" s="276" t="s">
        <v>536</v>
      </c>
      <c r="E106" s="277" t="s">
        <v>518</v>
      </c>
      <c r="F106" s="278" t="s">
        <v>562</v>
      </c>
      <c r="H106" s="279">
        <v>6</v>
      </c>
      <c r="L106" s="275"/>
      <c r="M106" s="280"/>
      <c r="N106" s="281"/>
      <c r="O106" s="281"/>
      <c r="P106" s="281"/>
      <c r="Q106" s="281"/>
      <c r="R106" s="281"/>
      <c r="S106" s="281"/>
      <c r="T106" s="282"/>
      <c r="AT106" s="277" t="s">
        <v>536</v>
      </c>
      <c r="AU106" s="277" t="s">
        <v>22</v>
      </c>
      <c r="AV106" s="274" t="s">
        <v>22</v>
      </c>
      <c r="AW106" s="274" t="s">
        <v>538</v>
      </c>
      <c r="AX106" s="274" t="s">
        <v>21</v>
      </c>
      <c r="AY106" s="277" t="s">
        <v>529</v>
      </c>
    </row>
    <row r="107" spans="1:65" s="203" customFormat="1" ht="24.2" customHeight="1">
      <c r="A107" s="199"/>
      <c r="B107" s="260"/>
      <c r="C107" s="304" t="s">
        <v>637</v>
      </c>
      <c r="D107" s="304" t="s">
        <v>638</v>
      </c>
      <c r="E107" s="305" t="s">
        <v>639</v>
      </c>
      <c r="F107" s="306" t="s">
        <v>640</v>
      </c>
      <c r="G107" s="307" t="s">
        <v>252</v>
      </c>
      <c r="H107" s="308">
        <v>6.09</v>
      </c>
      <c r="I107" s="309"/>
      <c r="J107" s="309">
        <f>ROUND(I107*H107,2)</f>
        <v>0</v>
      </c>
      <c r="K107" s="310"/>
      <c r="L107" s="311"/>
      <c r="M107" s="312" t="s">
        <v>518</v>
      </c>
      <c r="N107" s="313" t="s">
        <v>534</v>
      </c>
      <c r="O107" s="270">
        <v>0</v>
      </c>
      <c r="P107" s="270">
        <f>O107*H107</f>
        <v>0</v>
      </c>
      <c r="Q107" s="270">
        <v>1.9E-2</v>
      </c>
      <c r="R107" s="270">
        <f>Q107*H107</f>
        <v>0.11570999999999999</v>
      </c>
      <c r="S107" s="270">
        <v>0</v>
      </c>
      <c r="T107" s="271">
        <f>S107*H107</f>
        <v>0</v>
      </c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R107" s="272" t="s">
        <v>28</v>
      </c>
      <c r="AT107" s="272" t="s">
        <v>638</v>
      </c>
      <c r="AU107" s="272" t="s">
        <v>22</v>
      </c>
      <c r="AY107" s="215" t="s">
        <v>529</v>
      </c>
      <c r="BE107" s="273">
        <f>IF(N107="základní",J107,0)</f>
        <v>0</v>
      </c>
      <c r="BF107" s="273">
        <f>IF(N107="snížená",J107,0)</f>
        <v>0</v>
      </c>
      <c r="BG107" s="273">
        <f>IF(N107="zákl. přenesená",J107,0)</f>
        <v>0</v>
      </c>
      <c r="BH107" s="273">
        <f>IF(N107="sníž. přenesená",J107,0)</f>
        <v>0</v>
      </c>
      <c r="BI107" s="273">
        <f>IF(N107="nulová",J107,0)</f>
        <v>0</v>
      </c>
      <c r="BJ107" s="215" t="s">
        <v>21</v>
      </c>
      <c r="BK107" s="273">
        <f>ROUND(I107*H107,2)</f>
        <v>0</v>
      </c>
      <c r="BL107" s="215" t="s">
        <v>24</v>
      </c>
      <c r="BM107" s="272" t="s">
        <v>641</v>
      </c>
    </row>
    <row r="108" spans="1:65" s="274" customFormat="1" ht="11.25">
      <c r="B108" s="275"/>
      <c r="D108" s="276" t="s">
        <v>536</v>
      </c>
      <c r="F108" s="278" t="s">
        <v>642</v>
      </c>
      <c r="H108" s="279">
        <v>6.09</v>
      </c>
      <c r="L108" s="275"/>
      <c r="M108" s="280"/>
      <c r="N108" s="281"/>
      <c r="O108" s="281"/>
      <c r="P108" s="281"/>
      <c r="Q108" s="281"/>
      <c r="R108" s="281"/>
      <c r="S108" s="281"/>
      <c r="T108" s="282"/>
      <c r="AT108" s="277" t="s">
        <v>536</v>
      </c>
      <c r="AU108" s="277" t="s">
        <v>22</v>
      </c>
      <c r="AV108" s="274" t="s">
        <v>22</v>
      </c>
      <c r="AW108" s="274" t="s">
        <v>643</v>
      </c>
      <c r="AX108" s="274" t="s">
        <v>21</v>
      </c>
      <c r="AY108" s="277" t="s">
        <v>529</v>
      </c>
    </row>
    <row r="109" spans="1:65" s="203" customFormat="1" ht="24.2" customHeight="1">
      <c r="A109" s="199"/>
      <c r="B109" s="260"/>
      <c r="C109" s="261" t="s">
        <v>644</v>
      </c>
      <c r="D109" s="261" t="s">
        <v>531</v>
      </c>
      <c r="E109" s="262" t="s">
        <v>645</v>
      </c>
      <c r="F109" s="263" t="s">
        <v>646</v>
      </c>
      <c r="G109" s="264" t="s">
        <v>109</v>
      </c>
      <c r="H109" s="265">
        <v>1</v>
      </c>
      <c r="I109" s="266"/>
      <c r="J109" s="266">
        <f>ROUND(I109*H109,2)</f>
        <v>0</v>
      </c>
      <c r="K109" s="267"/>
      <c r="L109" s="204"/>
      <c r="M109" s="268" t="s">
        <v>518</v>
      </c>
      <c r="N109" s="269" t="s">
        <v>534</v>
      </c>
      <c r="O109" s="270">
        <v>3.5000000000000003E-2</v>
      </c>
      <c r="P109" s="270">
        <f>O109*H109</f>
        <v>3.5000000000000003E-2</v>
      </c>
      <c r="Q109" s="270">
        <v>6.9999999999999999E-4</v>
      </c>
      <c r="R109" s="270">
        <f>Q109*H109</f>
        <v>6.9999999999999999E-4</v>
      </c>
      <c r="S109" s="270">
        <v>0</v>
      </c>
      <c r="T109" s="271">
        <f>S109*H109</f>
        <v>0</v>
      </c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/>
      <c r="AR109" s="272" t="s">
        <v>24</v>
      </c>
      <c r="AT109" s="272" t="s">
        <v>531</v>
      </c>
      <c r="AU109" s="272" t="s">
        <v>22</v>
      </c>
      <c r="AY109" s="215" t="s">
        <v>529</v>
      </c>
      <c r="BE109" s="273">
        <f>IF(N109="základní",J109,0)</f>
        <v>0</v>
      </c>
      <c r="BF109" s="273">
        <f>IF(N109="snížená",J109,0)</f>
        <v>0</v>
      </c>
      <c r="BG109" s="273">
        <f>IF(N109="zákl. přenesená",J109,0)</f>
        <v>0</v>
      </c>
      <c r="BH109" s="273">
        <f>IF(N109="sníž. přenesená",J109,0)</f>
        <v>0</v>
      </c>
      <c r="BI109" s="273">
        <f>IF(N109="nulová",J109,0)</f>
        <v>0</v>
      </c>
      <c r="BJ109" s="215" t="s">
        <v>21</v>
      </c>
      <c r="BK109" s="273">
        <f>ROUND(I109*H109,2)</f>
        <v>0</v>
      </c>
      <c r="BL109" s="215" t="s">
        <v>24</v>
      </c>
      <c r="BM109" s="272" t="s">
        <v>647</v>
      </c>
    </row>
    <row r="110" spans="1:65" s="203" customFormat="1" ht="19.5">
      <c r="A110" s="199"/>
      <c r="B110" s="204"/>
      <c r="C110" s="199"/>
      <c r="D110" s="276" t="s">
        <v>613</v>
      </c>
      <c r="E110" s="199"/>
      <c r="F110" s="299" t="s">
        <v>648</v>
      </c>
      <c r="G110" s="199"/>
      <c r="H110" s="199"/>
      <c r="I110" s="199"/>
      <c r="J110" s="199"/>
      <c r="K110" s="199"/>
      <c r="L110" s="204"/>
      <c r="M110" s="300"/>
      <c r="N110" s="301"/>
      <c r="O110" s="302"/>
      <c r="P110" s="302"/>
      <c r="Q110" s="302"/>
      <c r="R110" s="302"/>
      <c r="S110" s="302"/>
      <c r="T110" s="303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T110" s="215" t="s">
        <v>613</v>
      </c>
      <c r="AU110" s="215" t="s">
        <v>22</v>
      </c>
    </row>
    <row r="111" spans="1:65" s="274" customFormat="1" ht="11.25">
      <c r="B111" s="275"/>
      <c r="D111" s="276" t="s">
        <v>536</v>
      </c>
      <c r="E111" s="277" t="s">
        <v>518</v>
      </c>
      <c r="F111" s="278" t="s">
        <v>21</v>
      </c>
      <c r="H111" s="279">
        <v>1</v>
      </c>
      <c r="L111" s="275"/>
      <c r="M111" s="280"/>
      <c r="N111" s="281"/>
      <c r="O111" s="281"/>
      <c r="P111" s="281"/>
      <c r="Q111" s="281"/>
      <c r="R111" s="281"/>
      <c r="S111" s="281"/>
      <c r="T111" s="282"/>
      <c r="AT111" s="277" t="s">
        <v>536</v>
      </c>
      <c r="AU111" s="277" t="s">
        <v>22</v>
      </c>
      <c r="AV111" s="274" t="s">
        <v>22</v>
      </c>
      <c r="AW111" s="274" t="s">
        <v>538</v>
      </c>
      <c r="AX111" s="274" t="s">
        <v>21</v>
      </c>
      <c r="AY111" s="277" t="s">
        <v>529</v>
      </c>
    </row>
    <row r="112" spans="1:65" s="203" customFormat="1" ht="24.2" customHeight="1">
      <c r="A112" s="199"/>
      <c r="B112" s="260"/>
      <c r="C112" s="261" t="s">
        <v>649</v>
      </c>
      <c r="D112" s="261" t="s">
        <v>531</v>
      </c>
      <c r="E112" s="262" t="s">
        <v>650</v>
      </c>
      <c r="F112" s="263" t="s">
        <v>651</v>
      </c>
      <c r="G112" s="264" t="s">
        <v>252</v>
      </c>
      <c r="H112" s="265">
        <v>12</v>
      </c>
      <c r="I112" s="266"/>
      <c r="J112" s="266">
        <f>ROUND(I112*H112,2)</f>
        <v>0</v>
      </c>
      <c r="K112" s="267"/>
      <c r="L112" s="204"/>
      <c r="M112" s="268" t="s">
        <v>518</v>
      </c>
      <c r="N112" s="269" t="s">
        <v>534</v>
      </c>
      <c r="O112" s="270">
        <v>0.28299999999999997</v>
      </c>
      <c r="P112" s="270">
        <f>O112*H112</f>
        <v>3.3959999999999999</v>
      </c>
      <c r="Q112" s="270">
        <v>3.0000000000000001E-5</v>
      </c>
      <c r="R112" s="270">
        <f>Q112*H112</f>
        <v>3.6000000000000002E-4</v>
      </c>
      <c r="S112" s="270">
        <v>0</v>
      </c>
      <c r="T112" s="271">
        <f>S112*H112</f>
        <v>0</v>
      </c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/>
      <c r="AR112" s="272" t="s">
        <v>24</v>
      </c>
      <c r="AT112" s="272" t="s">
        <v>531</v>
      </c>
      <c r="AU112" s="272" t="s">
        <v>22</v>
      </c>
      <c r="AY112" s="215" t="s">
        <v>529</v>
      </c>
      <c r="BE112" s="273">
        <f>IF(N112="základní",J112,0)</f>
        <v>0</v>
      </c>
      <c r="BF112" s="273">
        <f>IF(N112="snížená",J112,0)</f>
        <v>0</v>
      </c>
      <c r="BG112" s="273">
        <f>IF(N112="zákl. přenesená",J112,0)</f>
        <v>0</v>
      </c>
      <c r="BH112" s="273">
        <f>IF(N112="sníž. přenesená",J112,0)</f>
        <v>0</v>
      </c>
      <c r="BI112" s="273">
        <f>IF(N112="nulová",J112,0)</f>
        <v>0</v>
      </c>
      <c r="BJ112" s="215" t="s">
        <v>21</v>
      </c>
      <c r="BK112" s="273">
        <f>ROUND(I112*H112,2)</f>
        <v>0</v>
      </c>
      <c r="BL112" s="215" t="s">
        <v>24</v>
      </c>
      <c r="BM112" s="272" t="s">
        <v>652</v>
      </c>
    </row>
    <row r="113" spans="1:65" s="274" customFormat="1" ht="11.25">
      <c r="B113" s="275"/>
      <c r="D113" s="276" t="s">
        <v>536</v>
      </c>
      <c r="E113" s="277" t="s">
        <v>518</v>
      </c>
      <c r="F113" s="278" t="s">
        <v>560</v>
      </c>
      <c r="H113" s="279">
        <v>12</v>
      </c>
      <c r="L113" s="275"/>
      <c r="M113" s="280"/>
      <c r="N113" s="281"/>
      <c r="O113" s="281"/>
      <c r="P113" s="281"/>
      <c r="Q113" s="281"/>
      <c r="R113" s="281"/>
      <c r="S113" s="281"/>
      <c r="T113" s="282"/>
      <c r="AT113" s="277" t="s">
        <v>536</v>
      </c>
      <c r="AU113" s="277" t="s">
        <v>22</v>
      </c>
      <c r="AV113" s="274" t="s">
        <v>22</v>
      </c>
      <c r="AW113" s="274" t="s">
        <v>538</v>
      </c>
      <c r="AX113" s="274" t="s">
        <v>21</v>
      </c>
      <c r="AY113" s="277" t="s">
        <v>529</v>
      </c>
    </row>
    <row r="114" spans="1:65" s="203" customFormat="1" ht="24.2" customHeight="1">
      <c r="A114" s="199"/>
      <c r="B114" s="260"/>
      <c r="C114" s="304" t="s">
        <v>653</v>
      </c>
      <c r="D114" s="304" t="s">
        <v>638</v>
      </c>
      <c r="E114" s="305" t="s">
        <v>654</v>
      </c>
      <c r="F114" s="306" t="s">
        <v>655</v>
      </c>
      <c r="G114" s="307" t="s">
        <v>252</v>
      </c>
      <c r="H114" s="308">
        <v>12.18</v>
      </c>
      <c r="I114" s="309"/>
      <c r="J114" s="309">
        <f>ROUND(I114*H114,2)</f>
        <v>0</v>
      </c>
      <c r="K114" s="310"/>
      <c r="L114" s="311"/>
      <c r="M114" s="312" t="s">
        <v>518</v>
      </c>
      <c r="N114" s="313" t="s">
        <v>534</v>
      </c>
      <c r="O114" s="270">
        <v>0</v>
      </c>
      <c r="P114" s="270">
        <f>O114*H114</f>
        <v>0</v>
      </c>
      <c r="Q114" s="270">
        <v>2.4E-2</v>
      </c>
      <c r="R114" s="270">
        <f>Q114*H114</f>
        <v>0.29232000000000002</v>
      </c>
      <c r="S114" s="270">
        <v>0</v>
      </c>
      <c r="T114" s="271">
        <f>S114*H114</f>
        <v>0</v>
      </c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R114" s="272" t="s">
        <v>28</v>
      </c>
      <c r="AT114" s="272" t="s">
        <v>638</v>
      </c>
      <c r="AU114" s="272" t="s">
        <v>22</v>
      </c>
      <c r="AY114" s="215" t="s">
        <v>529</v>
      </c>
      <c r="BE114" s="273">
        <f>IF(N114="základní",J114,0)</f>
        <v>0</v>
      </c>
      <c r="BF114" s="273">
        <f>IF(N114="snížená",J114,0)</f>
        <v>0</v>
      </c>
      <c r="BG114" s="273">
        <f>IF(N114="zákl. přenesená",J114,0)</f>
        <v>0</v>
      </c>
      <c r="BH114" s="273">
        <f>IF(N114="sníž. přenesená",J114,0)</f>
        <v>0</v>
      </c>
      <c r="BI114" s="273">
        <f>IF(N114="nulová",J114,0)</f>
        <v>0</v>
      </c>
      <c r="BJ114" s="215" t="s">
        <v>21</v>
      </c>
      <c r="BK114" s="273">
        <f>ROUND(I114*H114,2)</f>
        <v>0</v>
      </c>
      <c r="BL114" s="215" t="s">
        <v>24</v>
      </c>
      <c r="BM114" s="272" t="s">
        <v>656</v>
      </c>
    </row>
    <row r="115" spans="1:65" s="274" customFormat="1" ht="11.25">
      <c r="B115" s="275"/>
      <c r="D115" s="276" t="s">
        <v>536</v>
      </c>
      <c r="F115" s="278" t="s">
        <v>657</v>
      </c>
      <c r="H115" s="279">
        <v>12.18</v>
      </c>
      <c r="L115" s="275"/>
      <c r="M115" s="280"/>
      <c r="N115" s="281"/>
      <c r="O115" s="281"/>
      <c r="P115" s="281"/>
      <c r="Q115" s="281"/>
      <c r="R115" s="281"/>
      <c r="S115" s="281"/>
      <c r="T115" s="282"/>
      <c r="AT115" s="277" t="s">
        <v>536</v>
      </c>
      <c r="AU115" s="277" t="s">
        <v>22</v>
      </c>
      <c r="AV115" s="274" t="s">
        <v>22</v>
      </c>
      <c r="AW115" s="274" t="s">
        <v>643</v>
      </c>
      <c r="AX115" s="274" t="s">
        <v>21</v>
      </c>
      <c r="AY115" s="277" t="s">
        <v>529</v>
      </c>
    </row>
    <row r="116" spans="1:65" s="203" customFormat="1" ht="24.2" customHeight="1">
      <c r="A116" s="199"/>
      <c r="B116" s="260"/>
      <c r="C116" s="261" t="s">
        <v>658</v>
      </c>
      <c r="D116" s="261" t="s">
        <v>531</v>
      </c>
      <c r="E116" s="262" t="s">
        <v>659</v>
      </c>
      <c r="F116" s="263" t="s">
        <v>660</v>
      </c>
      <c r="G116" s="264" t="s">
        <v>252</v>
      </c>
      <c r="H116" s="265">
        <v>42</v>
      </c>
      <c r="I116" s="266"/>
      <c r="J116" s="266">
        <f>ROUND(I116*H116,2)</f>
        <v>0</v>
      </c>
      <c r="K116" s="267"/>
      <c r="L116" s="204"/>
      <c r="M116" s="268" t="s">
        <v>518</v>
      </c>
      <c r="N116" s="269" t="s">
        <v>534</v>
      </c>
      <c r="O116" s="270">
        <v>0.35</v>
      </c>
      <c r="P116" s="270">
        <f>O116*H116</f>
        <v>14.7</v>
      </c>
      <c r="Q116" s="270">
        <v>4.0000000000000003E-5</v>
      </c>
      <c r="R116" s="270">
        <f>Q116*H116</f>
        <v>1.6800000000000001E-3</v>
      </c>
      <c r="S116" s="270">
        <v>0</v>
      </c>
      <c r="T116" s="271">
        <f>S116*H116</f>
        <v>0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R116" s="272" t="s">
        <v>24</v>
      </c>
      <c r="AT116" s="272" t="s">
        <v>531</v>
      </c>
      <c r="AU116" s="272" t="s">
        <v>22</v>
      </c>
      <c r="AY116" s="215" t="s">
        <v>529</v>
      </c>
      <c r="BE116" s="273">
        <f>IF(N116="základní",J116,0)</f>
        <v>0</v>
      </c>
      <c r="BF116" s="273">
        <f>IF(N116="snížená",J116,0)</f>
        <v>0</v>
      </c>
      <c r="BG116" s="273">
        <f>IF(N116="zákl. přenesená",J116,0)</f>
        <v>0</v>
      </c>
      <c r="BH116" s="273">
        <f>IF(N116="sníž. přenesená",J116,0)</f>
        <v>0</v>
      </c>
      <c r="BI116" s="273">
        <f>IF(N116="nulová",J116,0)</f>
        <v>0</v>
      </c>
      <c r="BJ116" s="215" t="s">
        <v>21</v>
      </c>
      <c r="BK116" s="273">
        <f>ROUND(I116*H116,2)</f>
        <v>0</v>
      </c>
      <c r="BL116" s="215" t="s">
        <v>24</v>
      </c>
      <c r="BM116" s="272" t="s">
        <v>661</v>
      </c>
    </row>
    <row r="117" spans="1:65" s="274" customFormat="1" ht="11.25">
      <c r="B117" s="275"/>
      <c r="D117" s="276" t="s">
        <v>536</v>
      </c>
      <c r="E117" s="277" t="s">
        <v>518</v>
      </c>
      <c r="F117" s="278" t="s">
        <v>558</v>
      </c>
      <c r="H117" s="279">
        <v>42</v>
      </c>
      <c r="L117" s="275"/>
      <c r="M117" s="280"/>
      <c r="N117" s="281"/>
      <c r="O117" s="281"/>
      <c r="P117" s="281"/>
      <c r="Q117" s="281"/>
      <c r="R117" s="281"/>
      <c r="S117" s="281"/>
      <c r="T117" s="282"/>
      <c r="AT117" s="277" t="s">
        <v>536</v>
      </c>
      <c r="AU117" s="277" t="s">
        <v>22</v>
      </c>
      <c r="AV117" s="274" t="s">
        <v>22</v>
      </c>
      <c r="AW117" s="274" t="s">
        <v>538</v>
      </c>
      <c r="AX117" s="274" t="s">
        <v>21</v>
      </c>
      <c r="AY117" s="277" t="s">
        <v>529</v>
      </c>
    </row>
    <row r="118" spans="1:65" s="203" customFormat="1" ht="24.2" customHeight="1">
      <c r="A118" s="199"/>
      <c r="B118" s="260"/>
      <c r="C118" s="304" t="s">
        <v>662</v>
      </c>
      <c r="D118" s="304" t="s">
        <v>638</v>
      </c>
      <c r="E118" s="305" t="s">
        <v>663</v>
      </c>
      <c r="F118" s="306" t="s">
        <v>664</v>
      </c>
      <c r="G118" s="307" t="s">
        <v>252</v>
      </c>
      <c r="H118" s="308">
        <v>42.63</v>
      </c>
      <c r="I118" s="309"/>
      <c r="J118" s="309">
        <f>ROUND(I118*H118,2)</f>
        <v>0</v>
      </c>
      <c r="K118" s="310"/>
      <c r="L118" s="311"/>
      <c r="M118" s="312" t="s">
        <v>518</v>
      </c>
      <c r="N118" s="313" t="s">
        <v>534</v>
      </c>
      <c r="O118" s="270">
        <v>0</v>
      </c>
      <c r="P118" s="270">
        <f>O118*H118</f>
        <v>0</v>
      </c>
      <c r="Q118" s="270">
        <v>3.6999999999999998E-2</v>
      </c>
      <c r="R118" s="270">
        <f>Q118*H118</f>
        <v>1.57731</v>
      </c>
      <c r="S118" s="270">
        <v>0</v>
      </c>
      <c r="T118" s="271">
        <f>S118*H118</f>
        <v>0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R118" s="272" t="s">
        <v>28</v>
      </c>
      <c r="AT118" s="272" t="s">
        <v>638</v>
      </c>
      <c r="AU118" s="272" t="s">
        <v>22</v>
      </c>
      <c r="AY118" s="215" t="s">
        <v>529</v>
      </c>
      <c r="BE118" s="273">
        <f>IF(N118="základní",J118,0)</f>
        <v>0</v>
      </c>
      <c r="BF118" s="273">
        <f>IF(N118="snížená",J118,0)</f>
        <v>0</v>
      </c>
      <c r="BG118" s="273">
        <f>IF(N118="zákl. přenesená",J118,0)</f>
        <v>0</v>
      </c>
      <c r="BH118" s="273">
        <f>IF(N118="sníž. přenesená",J118,0)</f>
        <v>0</v>
      </c>
      <c r="BI118" s="273">
        <f>IF(N118="nulová",J118,0)</f>
        <v>0</v>
      </c>
      <c r="BJ118" s="215" t="s">
        <v>21</v>
      </c>
      <c r="BK118" s="273">
        <f>ROUND(I118*H118,2)</f>
        <v>0</v>
      </c>
      <c r="BL118" s="215" t="s">
        <v>24</v>
      </c>
      <c r="BM118" s="272" t="s">
        <v>665</v>
      </c>
    </row>
    <row r="119" spans="1:65" s="274" customFormat="1" ht="11.25">
      <c r="B119" s="275"/>
      <c r="D119" s="276" t="s">
        <v>536</v>
      </c>
      <c r="F119" s="278" t="s">
        <v>666</v>
      </c>
      <c r="H119" s="279">
        <v>42.63</v>
      </c>
      <c r="L119" s="275"/>
      <c r="M119" s="280"/>
      <c r="N119" s="281"/>
      <c r="O119" s="281"/>
      <c r="P119" s="281"/>
      <c r="Q119" s="281"/>
      <c r="R119" s="281"/>
      <c r="S119" s="281"/>
      <c r="T119" s="282"/>
      <c r="AT119" s="277" t="s">
        <v>536</v>
      </c>
      <c r="AU119" s="277" t="s">
        <v>22</v>
      </c>
      <c r="AV119" s="274" t="s">
        <v>22</v>
      </c>
      <c r="AW119" s="274" t="s">
        <v>643</v>
      </c>
      <c r="AX119" s="274" t="s">
        <v>21</v>
      </c>
      <c r="AY119" s="277" t="s">
        <v>529</v>
      </c>
    </row>
    <row r="120" spans="1:65" s="203" customFormat="1" ht="24.2" customHeight="1">
      <c r="A120" s="199"/>
      <c r="B120" s="260"/>
      <c r="C120" s="261" t="s">
        <v>667</v>
      </c>
      <c r="D120" s="261" t="s">
        <v>531</v>
      </c>
      <c r="E120" s="262" t="s">
        <v>668</v>
      </c>
      <c r="F120" s="263" t="s">
        <v>669</v>
      </c>
      <c r="G120" s="264" t="s">
        <v>109</v>
      </c>
      <c r="H120" s="265">
        <v>1</v>
      </c>
      <c r="I120" s="266"/>
      <c r="J120" s="266">
        <f>ROUND(I120*H120,2)</f>
        <v>0</v>
      </c>
      <c r="K120" s="267"/>
      <c r="L120" s="204"/>
      <c r="M120" s="268" t="s">
        <v>518</v>
      </c>
      <c r="N120" s="269" t="s">
        <v>534</v>
      </c>
      <c r="O120" s="270">
        <v>4.1000000000000002E-2</v>
      </c>
      <c r="P120" s="270">
        <f>O120*H120</f>
        <v>4.1000000000000002E-2</v>
      </c>
      <c r="Q120" s="270">
        <v>1E-3</v>
      </c>
      <c r="R120" s="270">
        <f>Q120*H120</f>
        <v>1E-3</v>
      </c>
      <c r="S120" s="270">
        <v>0</v>
      </c>
      <c r="T120" s="271">
        <f>S120*H120</f>
        <v>0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R120" s="272" t="s">
        <v>24</v>
      </c>
      <c r="AT120" s="272" t="s">
        <v>531</v>
      </c>
      <c r="AU120" s="272" t="s">
        <v>22</v>
      </c>
      <c r="AY120" s="215" t="s">
        <v>529</v>
      </c>
      <c r="BE120" s="273">
        <f>IF(N120="základní",J120,0)</f>
        <v>0</v>
      </c>
      <c r="BF120" s="273">
        <f>IF(N120="snížená",J120,0)</f>
        <v>0</v>
      </c>
      <c r="BG120" s="273">
        <f>IF(N120="zákl. přenesená",J120,0)</f>
        <v>0</v>
      </c>
      <c r="BH120" s="273">
        <f>IF(N120="sníž. přenesená",J120,0)</f>
        <v>0</v>
      </c>
      <c r="BI120" s="273">
        <f>IF(N120="nulová",J120,0)</f>
        <v>0</v>
      </c>
      <c r="BJ120" s="215" t="s">
        <v>21</v>
      </c>
      <c r="BK120" s="273">
        <f>ROUND(I120*H120,2)</f>
        <v>0</v>
      </c>
      <c r="BL120" s="215" t="s">
        <v>24</v>
      </c>
      <c r="BM120" s="272" t="s">
        <v>670</v>
      </c>
    </row>
    <row r="121" spans="1:65" s="203" customFormat="1" ht="19.5">
      <c r="A121" s="199"/>
      <c r="B121" s="204"/>
      <c r="C121" s="199"/>
      <c r="D121" s="276" t="s">
        <v>613</v>
      </c>
      <c r="E121" s="199"/>
      <c r="F121" s="299" t="s">
        <v>671</v>
      </c>
      <c r="G121" s="199"/>
      <c r="H121" s="199"/>
      <c r="I121" s="199"/>
      <c r="J121" s="199"/>
      <c r="K121" s="199"/>
      <c r="L121" s="204"/>
      <c r="M121" s="300"/>
      <c r="N121" s="301"/>
      <c r="O121" s="302"/>
      <c r="P121" s="302"/>
      <c r="Q121" s="302"/>
      <c r="R121" s="302"/>
      <c r="S121" s="302"/>
      <c r="T121" s="303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T121" s="215" t="s">
        <v>613</v>
      </c>
      <c r="AU121" s="215" t="s">
        <v>22</v>
      </c>
    </row>
    <row r="122" spans="1:65" s="274" customFormat="1" ht="11.25">
      <c r="B122" s="275"/>
      <c r="D122" s="276" t="s">
        <v>536</v>
      </c>
      <c r="E122" s="277" t="s">
        <v>518</v>
      </c>
      <c r="F122" s="278" t="s">
        <v>21</v>
      </c>
      <c r="H122" s="279">
        <v>1</v>
      </c>
      <c r="L122" s="275"/>
      <c r="M122" s="280"/>
      <c r="N122" s="281"/>
      <c r="O122" s="281"/>
      <c r="P122" s="281"/>
      <c r="Q122" s="281"/>
      <c r="R122" s="281"/>
      <c r="S122" s="281"/>
      <c r="T122" s="282"/>
      <c r="AT122" s="277" t="s">
        <v>536</v>
      </c>
      <c r="AU122" s="277" t="s">
        <v>22</v>
      </c>
      <c r="AV122" s="274" t="s">
        <v>22</v>
      </c>
      <c r="AW122" s="274" t="s">
        <v>538</v>
      </c>
      <c r="AX122" s="274" t="s">
        <v>21</v>
      </c>
      <c r="AY122" s="277" t="s">
        <v>529</v>
      </c>
    </row>
    <row r="123" spans="1:65" s="203" customFormat="1" ht="24.2" customHeight="1">
      <c r="A123" s="199"/>
      <c r="B123" s="260"/>
      <c r="C123" s="261" t="s">
        <v>672</v>
      </c>
      <c r="D123" s="261" t="s">
        <v>531</v>
      </c>
      <c r="E123" s="262" t="s">
        <v>673</v>
      </c>
      <c r="F123" s="263" t="s">
        <v>674</v>
      </c>
      <c r="G123" s="264" t="s">
        <v>109</v>
      </c>
      <c r="H123" s="265">
        <v>1</v>
      </c>
      <c r="I123" s="266"/>
      <c r="J123" s="266">
        <f>ROUND(I123*H123,2)</f>
        <v>0</v>
      </c>
      <c r="K123" s="267"/>
      <c r="L123" s="204"/>
      <c r="M123" s="268" t="s">
        <v>518</v>
      </c>
      <c r="N123" s="269" t="s">
        <v>534</v>
      </c>
      <c r="O123" s="270">
        <v>0.63200000000000001</v>
      </c>
      <c r="P123" s="270">
        <f>O123*H123</f>
        <v>0.63200000000000001</v>
      </c>
      <c r="Q123" s="270">
        <v>1.2999999999999999E-4</v>
      </c>
      <c r="R123" s="270">
        <f>Q123*H123</f>
        <v>1.2999999999999999E-4</v>
      </c>
      <c r="S123" s="270">
        <v>0</v>
      </c>
      <c r="T123" s="271">
        <f>S123*H123</f>
        <v>0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R123" s="272" t="s">
        <v>24</v>
      </c>
      <c r="AT123" s="272" t="s">
        <v>531</v>
      </c>
      <c r="AU123" s="272" t="s">
        <v>22</v>
      </c>
      <c r="AY123" s="215" t="s">
        <v>529</v>
      </c>
      <c r="BE123" s="273">
        <f>IF(N123="základní",J123,0)</f>
        <v>0</v>
      </c>
      <c r="BF123" s="273">
        <f>IF(N123="snížená",J123,0)</f>
        <v>0</v>
      </c>
      <c r="BG123" s="273">
        <f>IF(N123="zákl. přenesená",J123,0)</f>
        <v>0</v>
      </c>
      <c r="BH123" s="273">
        <f>IF(N123="sníž. přenesená",J123,0)</f>
        <v>0</v>
      </c>
      <c r="BI123" s="273">
        <f>IF(N123="nulová",J123,0)</f>
        <v>0</v>
      </c>
      <c r="BJ123" s="215" t="s">
        <v>21</v>
      </c>
      <c r="BK123" s="273">
        <f>ROUND(I123*H123,2)</f>
        <v>0</v>
      </c>
      <c r="BL123" s="215" t="s">
        <v>24</v>
      </c>
      <c r="BM123" s="272" t="s">
        <v>675</v>
      </c>
    </row>
    <row r="124" spans="1:65" s="274" customFormat="1" ht="11.25">
      <c r="B124" s="275"/>
      <c r="D124" s="276" t="s">
        <v>536</v>
      </c>
      <c r="E124" s="277" t="s">
        <v>518</v>
      </c>
      <c r="F124" s="278" t="s">
        <v>21</v>
      </c>
      <c r="H124" s="279">
        <v>1</v>
      </c>
      <c r="L124" s="275"/>
      <c r="M124" s="280"/>
      <c r="N124" s="281"/>
      <c r="O124" s="281"/>
      <c r="P124" s="281"/>
      <c r="Q124" s="281"/>
      <c r="R124" s="281"/>
      <c r="S124" s="281"/>
      <c r="T124" s="282"/>
      <c r="AT124" s="277" t="s">
        <v>536</v>
      </c>
      <c r="AU124" s="277" t="s">
        <v>22</v>
      </c>
      <c r="AV124" s="274" t="s">
        <v>22</v>
      </c>
      <c r="AW124" s="274" t="s">
        <v>538</v>
      </c>
      <c r="AX124" s="274" t="s">
        <v>21</v>
      </c>
      <c r="AY124" s="277" t="s">
        <v>529</v>
      </c>
    </row>
    <row r="125" spans="1:65" s="203" customFormat="1" ht="37.9" customHeight="1">
      <c r="A125" s="199"/>
      <c r="B125" s="260"/>
      <c r="C125" s="304" t="s">
        <v>676</v>
      </c>
      <c r="D125" s="304" t="s">
        <v>638</v>
      </c>
      <c r="E125" s="305" t="s">
        <v>677</v>
      </c>
      <c r="F125" s="306" t="s">
        <v>678</v>
      </c>
      <c r="G125" s="307" t="s">
        <v>109</v>
      </c>
      <c r="H125" s="308">
        <v>1.0149999999999999</v>
      </c>
      <c r="I125" s="309"/>
      <c r="J125" s="309">
        <f>ROUND(I125*H125,2)</f>
        <v>0</v>
      </c>
      <c r="K125" s="310"/>
      <c r="L125" s="311"/>
      <c r="M125" s="312" t="s">
        <v>518</v>
      </c>
      <c r="N125" s="313" t="s">
        <v>534</v>
      </c>
      <c r="O125" s="270">
        <v>0</v>
      </c>
      <c r="P125" s="270">
        <f>O125*H125</f>
        <v>0</v>
      </c>
      <c r="Q125" s="270">
        <v>0.02</v>
      </c>
      <c r="R125" s="270">
        <f>Q125*H125</f>
        <v>2.0299999999999999E-2</v>
      </c>
      <c r="S125" s="270">
        <v>0</v>
      </c>
      <c r="T125" s="271">
        <f>S125*H125</f>
        <v>0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  <c r="AR125" s="272" t="s">
        <v>28</v>
      </c>
      <c r="AT125" s="272" t="s">
        <v>638</v>
      </c>
      <c r="AU125" s="272" t="s">
        <v>22</v>
      </c>
      <c r="AY125" s="215" t="s">
        <v>529</v>
      </c>
      <c r="BE125" s="273">
        <f>IF(N125="základní",J125,0)</f>
        <v>0</v>
      </c>
      <c r="BF125" s="273">
        <f>IF(N125="snížená",J125,0)</f>
        <v>0</v>
      </c>
      <c r="BG125" s="273">
        <f>IF(N125="zákl. přenesená",J125,0)</f>
        <v>0</v>
      </c>
      <c r="BH125" s="273">
        <f>IF(N125="sníž. přenesená",J125,0)</f>
        <v>0</v>
      </c>
      <c r="BI125" s="273">
        <f>IF(N125="nulová",J125,0)</f>
        <v>0</v>
      </c>
      <c r="BJ125" s="215" t="s">
        <v>21</v>
      </c>
      <c r="BK125" s="273">
        <f>ROUND(I125*H125,2)</f>
        <v>0</v>
      </c>
      <c r="BL125" s="215" t="s">
        <v>24</v>
      </c>
      <c r="BM125" s="272" t="s">
        <v>679</v>
      </c>
    </row>
    <row r="126" spans="1:65" s="274" customFormat="1" ht="11.25">
      <c r="B126" s="275"/>
      <c r="D126" s="276" t="s">
        <v>536</v>
      </c>
      <c r="F126" s="278" t="s">
        <v>680</v>
      </c>
      <c r="H126" s="279">
        <v>1.0149999999999999</v>
      </c>
      <c r="L126" s="275"/>
      <c r="M126" s="280"/>
      <c r="N126" s="281"/>
      <c r="O126" s="281"/>
      <c r="P126" s="281"/>
      <c r="Q126" s="281"/>
      <c r="R126" s="281"/>
      <c r="S126" s="281"/>
      <c r="T126" s="282"/>
      <c r="AT126" s="277" t="s">
        <v>536</v>
      </c>
      <c r="AU126" s="277" t="s">
        <v>22</v>
      </c>
      <c r="AV126" s="274" t="s">
        <v>22</v>
      </c>
      <c r="AW126" s="274" t="s">
        <v>643</v>
      </c>
      <c r="AX126" s="274" t="s">
        <v>21</v>
      </c>
      <c r="AY126" s="277" t="s">
        <v>529</v>
      </c>
    </row>
    <row r="127" spans="1:65" s="203" customFormat="1" ht="24.2" customHeight="1">
      <c r="A127" s="199"/>
      <c r="B127" s="260"/>
      <c r="C127" s="261" t="s">
        <v>681</v>
      </c>
      <c r="D127" s="261" t="s">
        <v>531</v>
      </c>
      <c r="E127" s="262" t="s">
        <v>682</v>
      </c>
      <c r="F127" s="263" t="s">
        <v>683</v>
      </c>
      <c r="G127" s="264" t="s">
        <v>109</v>
      </c>
      <c r="H127" s="265">
        <v>3</v>
      </c>
      <c r="I127" s="266"/>
      <c r="J127" s="266">
        <f>ROUND(I127*H127,2)</f>
        <v>0</v>
      </c>
      <c r="K127" s="267"/>
      <c r="L127" s="204"/>
      <c r="M127" s="268" t="s">
        <v>518</v>
      </c>
      <c r="N127" s="269" t="s">
        <v>534</v>
      </c>
      <c r="O127" s="270">
        <v>0.53900000000000003</v>
      </c>
      <c r="P127" s="270">
        <f>O127*H127</f>
        <v>1.617</v>
      </c>
      <c r="Q127" s="270">
        <v>6.9999999999999994E-5</v>
      </c>
      <c r="R127" s="270">
        <f>Q127*H127</f>
        <v>2.0999999999999998E-4</v>
      </c>
      <c r="S127" s="270">
        <v>0</v>
      </c>
      <c r="T127" s="271">
        <f>S127*H127</f>
        <v>0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R127" s="272" t="s">
        <v>24</v>
      </c>
      <c r="AT127" s="272" t="s">
        <v>531</v>
      </c>
      <c r="AU127" s="272" t="s">
        <v>22</v>
      </c>
      <c r="AY127" s="215" t="s">
        <v>529</v>
      </c>
      <c r="BE127" s="273">
        <f>IF(N127="základní",J127,0)</f>
        <v>0</v>
      </c>
      <c r="BF127" s="273">
        <f>IF(N127="snížená",J127,0)</f>
        <v>0</v>
      </c>
      <c r="BG127" s="273">
        <f>IF(N127="zákl. přenesená",J127,0)</f>
        <v>0</v>
      </c>
      <c r="BH127" s="273">
        <f>IF(N127="sníž. přenesená",J127,0)</f>
        <v>0</v>
      </c>
      <c r="BI127" s="273">
        <f>IF(N127="nulová",J127,0)</f>
        <v>0</v>
      </c>
      <c r="BJ127" s="215" t="s">
        <v>21</v>
      </c>
      <c r="BK127" s="273">
        <f>ROUND(I127*H127,2)</f>
        <v>0</v>
      </c>
      <c r="BL127" s="215" t="s">
        <v>24</v>
      </c>
      <c r="BM127" s="272" t="s">
        <v>684</v>
      </c>
    </row>
    <row r="128" spans="1:65" s="274" customFormat="1" ht="11.25">
      <c r="B128" s="275"/>
      <c r="D128" s="276" t="s">
        <v>536</v>
      </c>
      <c r="E128" s="277" t="s">
        <v>518</v>
      </c>
      <c r="F128" s="278" t="s">
        <v>685</v>
      </c>
      <c r="H128" s="279">
        <v>3</v>
      </c>
      <c r="L128" s="275"/>
      <c r="M128" s="280"/>
      <c r="N128" s="281"/>
      <c r="O128" s="281"/>
      <c r="P128" s="281"/>
      <c r="Q128" s="281"/>
      <c r="R128" s="281"/>
      <c r="S128" s="281"/>
      <c r="T128" s="282"/>
      <c r="AT128" s="277" t="s">
        <v>536</v>
      </c>
      <c r="AU128" s="277" t="s">
        <v>22</v>
      </c>
      <c r="AV128" s="274" t="s">
        <v>22</v>
      </c>
      <c r="AW128" s="274" t="s">
        <v>538</v>
      </c>
      <c r="AX128" s="274" t="s">
        <v>21</v>
      </c>
      <c r="AY128" s="277" t="s">
        <v>529</v>
      </c>
    </row>
    <row r="129" spans="1:65" s="203" customFormat="1" ht="24.2" customHeight="1">
      <c r="A129" s="199"/>
      <c r="B129" s="260"/>
      <c r="C129" s="304" t="s">
        <v>686</v>
      </c>
      <c r="D129" s="304" t="s">
        <v>638</v>
      </c>
      <c r="E129" s="305" t="s">
        <v>687</v>
      </c>
      <c r="F129" s="306" t="s">
        <v>688</v>
      </c>
      <c r="G129" s="307" t="s">
        <v>109</v>
      </c>
      <c r="H129" s="308">
        <v>3.0449999999999999</v>
      </c>
      <c r="I129" s="309"/>
      <c r="J129" s="309">
        <f>ROUND(I129*H129,2)</f>
        <v>0</v>
      </c>
      <c r="K129" s="310"/>
      <c r="L129" s="311"/>
      <c r="M129" s="312" t="s">
        <v>518</v>
      </c>
      <c r="N129" s="313" t="s">
        <v>534</v>
      </c>
      <c r="O129" s="270">
        <v>0</v>
      </c>
      <c r="P129" s="270">
        <f>O129*H129</f>
        <v>0</v>
      </c>
      <c r="Q129" s="270">
        <v>8.0000000000000002E-3</v>
      </c>
      <c r="R129" s="270">
        <f>Q129*H129</f>
        <v>2.436E-2</v>
      </c>
      <c r="S129" s="270">
        <v>0</v>
      </c>
      <c r="T129" s="271">
        <f>S129*H129</f>
        <v>0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R129" s="272" t="s">
        <v>28</v>
      </c>
      <c r="AT129" s="272" t="s">
        <v>638</v>
      </c>
      <c r="AU129" s="272" t="s">
        <v>22</v>
      </c>
      <c r="AY129" s="215" t="s">
        <v>529</v>
      </c>
      <c r="BE129" s="273">
        <f>IF(N129="základní",J129,0)</f>
        <v>0</v>
      </c>
      <c r="BF129" s="273">
        <f>IF(N129="snížená",J129,0)</f>
        <v>0</v>
      </c>
      <c r="BG129" s="273">
        <f>IF(N129="zákl. přenesená",J129,0)</f>
        <v>0</v>
      </c>
      <c r="BH129" s="273">
        <f>IF(N129="sníž. přenesená",J129,0)</f>
        <v>0</v>
      </c>
      <c r="BI129" s="273">
        <f>IF(N129="nulová",J129,0)</f>
        <v>0</v>
      </c>
      <c r="BJ129" s="215" t="s">
        <v>21</v>
      </c>
      <c r="BK129" s="273">
        <f>ROUND(I129*H129,2)</f>
        <v>0</v>
      </c>
      <c r="BL129" s="215" t="s">
        <v>24</v>
      </c>
      <c r="BM129" s="272" t="s">
        <v>689</v>
      </c>
    </row>
    <row r="130" spans="1:65" s="274" customFormat="1" ht="11.25">
      <c r="B130" s="275"/>
      <c r="D130" s="276" t="s">
        <v>536</v>
      </c>
      <c r="F130" s="278" t="s">
        <v>690</v>
      </c>
      <c r="H130" s="279">
        <v>3.0449999999999999</v>
      </c>
      <c r="L130" s="275"/>
      <c r="M130" s="280"/>
      <c r="N130" s="281"/>
      <c r="O130" s="281"/>
      <c r="P130" s="281"/>
      <c r="Q130" s="281"/>
      <c r="R130" s="281"/>
      <c r="S130" s="281"/>
      <c r="T130" s="282"/>
      <c r="AT130" s="277" t="s">
        <v>536</v>
      </c>
      <c r="AU130" s="277" t="s">
        <v>22</v>
      </c>
      <c r="AV130" s="274" t="s">
        <v>22</v>
      </c>
      <c r="AW130" s="274" t="s">
        <v>643</v>
      </c>
      <c r="AX130" s="274" t="s">
        <v>21</v>
      </c>
      <c r="AY130" s="277" t="s">
        <v>529</v>
      </c>
    </row>
    <row r="131" spans="1:65" s="203" customFormat="1" ht="24.2" customHeight="1">
      <c r="A131" s="199"/>
      <c r="B131" s="260"/>
      <c r="C131" s="261" t="s">
        <v>691</v>
      </c>
      <c r="D131" s="261" t="s">
        <v>531</v>
      </c>
      <c r="E131" s="262" t="s">
        <v>692</v>
      </c>
      <c r="F131" s="263" t="s">
        <v>693</v>
      </c>
      <c r="G131" s="264" t="s">
        <v>109</v>
      </c>
      <c r="H131" s="265">
        <v>2</v>
      </c>
      <c r="I131" s="266"/>
      <c r="J131" s="266">
        <f>ROUND(I131*H131,2)</f>
        <v>0</v>
      </c>
      <c r="K131" s="267"/>
      <c r="L131" s="204"/>
      <c r="M131" s="268" t="s">
        <v>518</v>
      </c>
      <c r="N131" s="269" t="s">
        <v>534</v>
      </c>
      <c r="O131" s="270">
        <v>0.70099999999999996</v>
      </c>
      <c r="P131" s="270">
        <f>O131*H131</f>
        <v>1.4019999999999999</v>
      </c>
      <c r="Q131" s="270">
        <v>1.3999999999999999E-4</v>
      </c>
      <c r="R131" s="270">
        <f>Q131*H131</f>
        <v>2.7999999999999998E-4</v>
      </c>
      <c r="S131" s="270">
        <v>0</v>
      </c>
      <c r="T131" s="271">
        <f>S131*H131</f>
        <v>0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R131" s="272" t="s">
        <v>24</v>
      </c>
      <c r="AT131" s="272" t="s">
        <v>531</v>
      </c>
      <c r="AU131" s="272" t="s">
        <v>22</v>
      </c>
      <c r="AY131" s="215" t="s">
        <v>529</v>
      </c>
      <c r="BE131" s="273">
        <f>IF(N131="základní",J131,0)</f>
        <v>0</v>
      </c>
      <c r="BF131" s="273">
        <f>IF(N131="snížená",J131,0)</f>
        <v>0</v>
      </c>
      <c r="BG131" s="273">
        <f>IF(N131="zákl. přenesená",J131,0)</f>
        <v>0</v>
      </c>
      <c r="BH131" s="273">
        <f>IF(N131="sníž. přenesená",J131,0)</f>
        <v>0</v>
      </c>
      <c r="BI131" s="273">
        <f>IF(N131="nulová",J131,0)</f>
        <v>0</v>
      </c>
      <c r="BJ131" s="215" t="s">
        <v>21</v>
      </c>
      <c r="BK131" s="273">
        <f>ROUND(I131*H131,2)</f>
        <v>0</v>
      </c>
      <c r="BL131" s="215" t="s">
        <v>24</v>
      </c>
      <c r="BM131" s="272" t="s">
        <v>694</v>
      </c>
    </row>
    <row r="132" spans="1:65" s="274" customFormat="1" ht="11.25">
      <c r="B132" s="275"/>
      <c r="D132" s="276" t="s">
        <v>536</v>
      </c>
      <c r="E132" s="277" t="s">
        <v>518</v>
      </c>
      <c r="F132" s="278" t="s">
        <v>22</v>
      </c>
      <c r="H132" s="279">
        <v>2</v>
      </c>
      <c r="L132" s="275"/>
      <c r="M132" s="280"/>
      <c r="N132" s="281"/>
      <c r="O132" s="281"/>
      <c r="P132" s="281"/>
      <c r="Q132" s="281"/>
      <c r="R132" s="281"/>
      <c r="S132" s="281"/>
      <c r="T132" s="282"/>
      <c r="AT132" s="277" t="s">
        <v>536</v>
      </c>
      <c r="AU132" s="277" t="s">
        <v>22</v>
      </c>
      <c r="AV132" s="274" t="s">
        <v>22</v>
      </c>
      <c r="AW132" s="274" t="s">
        <v>538</v>
      </c>
      <c r="AX132" s="274" t="s">
        <v>21</v>
      </c>
      <c r="AY132" s="277" t="s">
        <v>529</v>
      </c>
    </row>
    <row r="133" spans="1:65" s="203" customFormat="1" ht="37.9" customHeight="1">
      <c r="A133" s="199"/>
      <c r="B133" s="260"/>
      <c r="C133" s="304" t="s">
        <v>695</v>
      </c>
      <c r="D133" s="304" t="s">
        <v>638</v>
      </c>
      <c r="E133" s="305" t="s">
        <v>696</v>
      </c>
      <c r="F133" s="306" t="s">
        <v>697</v>
      </c>
      <c r="G133" s="307" t="s">
        <v>109</v>
      </c>
      <c r="H133" s="308">
        <v>2.0299999999999998</v>
      </c>
      <c r="I133" s="309"/>
      <c r="J133" s="309">
        <f>ROUND(I133*H133,2)</f>
        <v>0</v>
      </c>
      <c r="K133" s="310"/>
      <c r="L133" s="311"/>
      <c r="M133" s="312" t="s">
        <v>518</v>
      </c>
      <c r="N133" s="313" t="s">
        <v>534</v>
      </c>
      <c r="O133" s="270">
        <v>0</v>
      </c>
      <c r="P133" s="270">
        <f>O133*H133</f>
        <v>0</v>
      </c>
      <c r="Q133" s="270">
        <v>3.2000000000000001E-2</v>
      </c>
      <c r="R133" s="270">
        <f>Q133*H133</f>
        <v>6.495999999999999E-2</v>
      </c>
      <c r="S133" s="270">
        <v>0</v>
      </c>
      <c r="T133" s="271">
        <f>S133*H133</f>
        <v>0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R133" s="272" t="s">
        <v>28</v>
      </c>
      <c r="AT133" s="272" t="s">
        <v>638</v>
      </c>
      <c r="AU133" s="272" t="s">
        <v>22</v>
      </c>
      <c r="AY133" s="215" t="s">
        <v>529</v>
      </c>
      <c r="BE133" s="273">
        <f>IF(N133="základní",J133,0)</f>
        <v>0</v>
      </c>
      <c r="BF133" s="273">
        <f>IF(N133="snížená",J133,0)</f>
        <v>0</v>
      </c>
      <c r="BG133" s="273">
        <f>IF(N133="zákl. přenesená",J133,0)</f>
        <v>0</v>
      </c>
      <c r="BH133" s="273">
        <f>IF(N133="sníž. přenesená",J133,0)</f>
        <v>0</v>
      </c>
      <c r="BI133" s="273">
        <f>IF(N133="nulová",J133,0)</f>
        <v>0</v>
      </c>
      <c r="BJ133" s="215" t="s">
        <v>21</v>
      </c>
      <c r="BK133" s="273">
        <f>ROUND(I133*H133,2)</f>
        <v>0</v>
      </c>
      <c r="BL133" s="215" t="s">
        <v>24</v>
      </c>
      <c r="BM133" s="272" t="s">
        <v>698</v>
      </c>
    </row>
    <row r="134" spans="1:65" s="274" customFormat="1" ht="11.25">
      <c r="B134" s="275"/>
      <c r="D134" s="276" t="s">
        <v>536</v>
      </c>
      <c r="F134" s="278" t="s">
        <v>699</v>
      </c>
      <c r="H134" s="279">
        <v>2.0299999999999998</v>
      </c>
      <c r="L134" s="275"/>
      <c r="M134" s="280"/>
      <c r="N134" s="281"/>
      <c r="O134" s="281"/>
      <c r="P134" s="281"/>
      <c r="Q134" s="281"/>
      <c r="R134" s="281"/>
      <c r="S134" s="281"/>
      <c r="T134" s="282"/>
      <c r="AT134" s="277" t="s">
        <v>536</v>
      </c>
      <c r="AU134" s="277" t="s">
        <v>22</v>
      </c>
      <c r="AV134" s="274" t="s">
        <v>22</v>
      </c>
      <c r="AW134" s="274" t="s">
        <v>643</v>
      </c>
      <c r="AX134" s="274" t="s">
        <v>21</v>
      </c>
      <c r="AY134" s="277" t="s">
        <v>529</v>
      </c>
    </row>
    <row r="135" spans="1:65" s="203" customFormat="1" ht="24.2" customHeight="1">
      <c r="A135" s="199"/>
      <c r="B135" s="260"/>
      <c r="C135" s="261" t="s">
        <v>700</v>
      </c>
      <c r="D135" s="261" t="s">
        <v>531</v>
      </c>
      <c r="E135" s="262" t="s">
        <v>701</v>
      </c>
      <c r="F135" s="263" t="s">
        <v>702</v>
      </c>
      <c r="G135" s="264" t="s">
        <v>109</v>
      </c>
      <c r="H135" s="265">
        <v>5</v>
      </c>
      <c r="I135" s="266"/>
      <c r="J135" s="266">
        <f>ROUND(I135*H135,2)</f>
        <v>0</v>
      </c>
      <c r="K135" s="267"/>
      <c r="L135" s="204"/>
      <c r="M135" s="268" t="s">
        <v>518</v>
      </c>
      <c r="N135" s="269" t="s">
        <v>534</v>
      </c>
      <c r="O135" s="270">
        <v>0.67400000000000004</v>
      </c>
      <c r="P135" s="270">
        <f>O135*H135</f>
        <v>3.37</v>
      </c>
      <c r="Q135" s="270">
        <v>6.9999999999999994E-5</v>
      </c>
      <c r="R135" s="270">
        <f>Q135*H135</f>
        <v>3.4999999999999994E-4</v>
      </c>
      <c r="S135" s="270">
        <v>0</v>
      </c>
      <c r="T135" s="271">
        <f>S135*H135</f>
        <v>0</v>
      </c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  <c r="AR135" s="272" t="s">
        <v>24</v>
      </c>
      <c r="AT135" s="272" t="s">
        <v>531</v>
      </c>
      <c r="AU135" s="272" t="s">
        <v>22</v>
      </c>
      <c r="AY135" s="215" t="s">
        <v>529</v>
      </c>
      <c r="BE135" s="273">
        <f>IF(N135="základní",J135,0)</f>
        <v>0</v>
      </c>
      <c r="BF135" s="273">
        <f>IF(N135="snížená",J135,0)</f>
        <v>0</v>
      </c>
      <c r="BG135" s="273">
        <f>IF(N135="zákl. přenesená",J135,0)</f>
        <v>0</v>
      </c>
      <c r="BH135" s="273">
        <f>IF(N135="sníž. přenesená",J135,0)</f>
        <v>0</v>
      </c>
      <c r="BI135" s="273">
        <f>IF(N135="nulová",J135,0)</f>
        <v>0</v>
      </c>
      <c r="BJ135" s="215" t="s">
        <v>21</v>
      </c>
      <c r="BK135" s="273">
        <f>ROUND(I135*H135,2)</f>
        <v>0</v>
      </c>
      <c r="BL135" s="215" t="s">
        <v>24</v>
      </c>
      <c r="BM135" s="272" t="s">
        <v>703</v>
      </c>
    </row>
    <row r="136" spans="1:65" s="274" customFormat="1" ht="11.25">
      <c r="B136" s="275"/>
      <c r="D136" s="276" t="s">
        <v>536</v>
      </c>
      <c r="E136" s="277" t="s">
        <v>518</v>
      </c>
      <c r="F136" s="278" t="s">
        <v>704</v>
      </c>
      <c r="H136" s="279">
        <v>5</v>
      </c>
      <c r="L136" s="275"/>
      <c r="M136" s="280"/>
      <c r="N136" s="281"/>
      <c r="O136" s="281"/>
      <c r="P136" s="281"/>
      <c r="Q136" s="281"/>
      <c r="R136" s="281"/>
      <c r="S136" s="281"/>
      <c r="T136" s="282"/>
      <c r="AT136" s="277" t="s">
        <v>536</v>
      </c>
      <c r="AU136" s="277" t="s">
        <v>22</v>
      </c>
      <c r="AV136" s="274" t="s">
        <v>22</v>
      </c>
      <c r="AW136" s="274" t="s">
        <v>538</v>
      </c>
      <c r="AX136" s="274" t="s">
        <v>21</v>
      </c>
      <c r="AY136" s="277" t="s">
        <v>529</v>
      </c>
    </row>
    <row r="137" spans="1:65" s="203" customFormat="1" ht="37.9" customHeight="1">
      <c r="A137" s="199"/>
      <c r="B137" s="260"/>
      <c r="C137" s="304" t="s">
        <v>705</v>
      </c>
      <c r="D137" s="304" t="s">
        <v>638</v>
      </c>
      <c r="E137" s="305" t="s">
        <v>706</v>
      </c>
      <c r="F137" s="306" t="s">
        <v>707</v>
      </c>
      <c r="G137" s="307" t="s">
        <v>109</v>
      </c>
      <c r="H137" s="308">
        <v>1.0149999999999999</v>
      </c>
      <c r="I137" s="309"/>
      <c r="J137" s="309">
        <f>ROUND(I137*H137,2)</f>
        <v>0</v>
      </c>
      <c r="K137" s="310"/>
      <c r="L137" s="311"/>
      <c r="M137" s="312" t="s">
        <v>518</v>
      </c>
      <c r="N137" s="313" t="s">
        <v>534</v>
      </c>
      <c r="O137" s="270">
        <v>0</v>
      </c>
      <c r="P137" s="270">
        <f>O137*H137</f>
        <v>0</v>
      </c>
      <c r="Q137" s="270">
        <v>1.0999999999999999E-2</v>
      </c>
      <c r="R137" s="270">
        <f>Q137*H137</f>
        <v>1.1164999999999998E-2</v>
      </c>
      <c r="S137" s="270">
        <v>0</v>
      </c>
      <c r="T137" s="271">
        <f>S137*H137</f>
        <v>0</v>
      </c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  <c r="AR137" s="272" t="s">
        <v>28</v>
      </c>
      <c r="AT137" s="272" t="s">
        <v>638</v>
      </c>
      <c r="AU137" s="272" t="s">
        <v>22</v>
      </c>
      <c r="AY137" s="215" t="s">
        <v>529</v>
      </c>
      <c r="BE137" s="273">
        <f>IF(N137="základní",J137,0)</f>
        <v>0</v>
      </c>
      <c r="BF137" s="273">
        <f>IF(N137="snížená",J137,0)</f>
        <v>0</v>
      </c>
      <c r="BG137" s="273">
        <f>IF(N137="zákl. přenesená",J137,0)</f>
        <v>0</v>
      </c>
      <c r="BH137" s="273">
        <f>IF(N137="sníž. přenesená",J137,0)</f>
        <v>0</v>
      </c>
      <c r="BI137" s="273">
        <f>IF(N137="nulová",J137,0)</f>
        <v>0</v>
      </c>
      <c r="BJ137" s="215" t="s">
        <v>21</v>
      </c>
      <c r="BK137" s="273">
        <f>ROUND(I137*H137,2)</f>
        <v>0</v>
      </c>
      <c r="BL137" s="215" t="s">
        <v>24</v>
      </c>
      <c r="BM137" s="272" t="s">
        <v>708</v>
      </c>
    </row>
    <row r="138" spans="1:65" s="274" customFormat="1" ht="11.25">
      <c r="B138" s="275"/>
      <c r="D138" s="276" t="s">
        <v>536</v>
      </c>
      <c r="E138" s="277" t="s">
        <v>518</v>
      </c>
      <c r="F138" s="278" t="s">
        <v>21</v>
      </c>
      <c r="H138" s="279">
        <v>1</v>
      </c>
      <c r="L138" s="275"/>
      <c r="M138" s="280"/>
      <c r="N138" s="281"/>
      <c r="O138" s="281"/>
      <c r="P138" s="281"/>
      <c r="Q138" s="281"/>
      <c r="R138" s="281"/>
      <c r="S138" s="281"/>
      <c r="T138" s="282"/>
      <c r="AT138" s="277" t="s">
        <v>536</v>
      </c>
      <c r="AU138" s="277" t="s">
        <v>22</v>
      </c>
      <c r="AV138" s="274" t="s">
        <v>22</v>
      </c>
      <c r="AW138" s="274" t="s">
        <v>538</v>
      </c>
      <c r="AX138" s="274" t="s">
        <v>21</v>
      </c>
      <c r="AY138" s="277" t="s">
        <v>529</v>
      </c>
    </row>
    <row r="139" spans="1:65" s="274" customFormat="1" ht="11.25">
      <c r="B139" s="275"/>
      <c r="D139" s="276" t="s">
        <v>536</v>
      </c>
      <c r="F139" s="278" t="s">
        <v>680</v>
      </c>
      <c r="H139" s="279">
        <v>1.0149999999999999</v>
      </c>
      <c r="L139" s="275"/>
      <c r="M139" s="280"/>
      <c r="N139" s="281"/>
      <c r="O139" s="281"/>
      <c r="P139" s="281"/>
      <c r="Q139" s="281"/>
      <c r="R139" s="281"/>
      <c r="S139" s="281"/>
      <c r="T139" s="282"/>
      <c r="AT139" s="277" t="s">
        <v>536</v>
      </c>
      <c r="AU139" s="277" t="s">
        <v>22</v>
      </c>
      <c r="AV139" s="274" t="s">
        <v>22</v>
      </c>
      <c r="AW139" s="274" t="s">
        <v>643</v>
      </c>
      <c r="AX139" s="274" t="s">
        <v>21</v>
      </c>
      <c r="AY139" s="277" t="s">
        <v>529</v>
      </c>
    </row>
    <row r="140" spans="1:65" s="203" customFormat="1" ht="24.2" customHeight="1">
      <c r="A140" s="199"/>
      <c r="B140" s="260"/>
      <c r="C140" s="304" t="s">
        <v>709</v>
      </c>
      <c r="D140" s="304" t="s">
        <v>638</v>
      </c>
      <c r="E140" s="305" t="s">
        <v>710</v>
      </c>
      <c r="F140" s="306" t="s">
        <v>711</v>
      </c>
      <c r="G140" s="307" t="s">
        <v>109</v>
      </c>
      <c r="H140" s="308">
        <v>1.0149999999999999</v>
      </c>
      <c r="I140" s="309"/>
      <c r="J140" s="309">
        <f>ROUND(I140*H140,2)</f>
        <v>0</v>
      </c>
      <c r="K140" s="310"/>
      <c r="L140" s="311"/>
      <c r="M140" s="312" t="s">
        <v>518</v>
      </c>
      <c r="N140" s="313" t="s">
        <v>534</v>
      </c>
      <c r="O140" s="270">
        <v>0</v>
      </c>
      <c r="P140" s="270">
        <f>O140*H140</f>
        <v>0</v>
      </c>
      <c r="Q140" s="270">
        <v>5.0000000000000001E-3</v>
      </c>
      <c r="R140" s="270">
        <f>Q140*H140</f>
        <v>5.0749999999999997E-3</v>
      </c>
      <c r="S140" s="270">
        <v>0</v>
      </c>
      <c r="T140" s="271">
        <f>S140*H140</f>
        <v>0</v>
      </c>
      <c r="U140" s="199"/>
      <c r="V140" s="199"/>
      <c r="W140" s="199"/>
      <c r="X140" s="199"/>
      <c r="Y140" s="199"/>
      <c r="Z140" s="199"/>
      <c r="AA140" s="199"/>
      <c r="AB140" s="199"/>
      <c r="AC140" s="199"/>
      <c r="AD140" s="199"/>
      <c r="AE140" s="199"/>
      <c r="AR140" s="272" t="s">
        <v>28</v>
      </c>
      <c r="AT140" s="272" t="s">
        <v>638</v>
      </c>
      <c r="AU140" s="272" t="s">
        <v>22</v>
      </c>
      <c r="AY140" s="215" t="s">
        <v>529</v>
      </c>
      <c r="BE140" s="273">
        <f>IF(N140="základní",J140,0)</f>
        <v>0</v>
      </c>
      <c r="BF140" s="273">
        <f>IF(N140="snížená",J140,0)</f>
        <v>0</v>
      </c>
      <c r="BG140" s="273">
        <f>IF(N140="zákl. přenesená",J140,0)</f>
        <v>0</v>
      </c>
      <c r="BH140" s="273">
        <f>IF(N140="sníž. přenesená",J140,0)</f>
        <v>0</v>
      </c>
      <c r="BI140" s="273">
        <f>IF(N140="nulová",J140,0)</f>
        <v>0</v>
      </c>
      <c r="BJ140" s="215" t="s">
        <v>21</v>
      </c>
      <c r="BK140" s="273">
        <f>ROUND(I140*H140,2)</f>
        <v>0</v>
      </c>
      <c r="BL140" s="215" t="s">
        <v>24</v>
      </c>
      <c r="BM140" s="272" t="s">
        <v>712</v>
      </c>
    </row>
    <row r="141" spans="1:65" s="274" customFormat="1" ht="11.25">
      <c r="B141" s="275"/>
      <c r="D141" s="276" t="s">
        <v>536</v>
      </c>
      <c r="E141" s="277" t="s">
        <v>518</v>
      </c>
      <c r="F141" s="278" t="s">
        <v>21</v>
      </c>
      <c r="H141" s="279">
        <v>1</v>
      </c>
      <c r="L141" s="275"/>
      <c r="M141" s="280"/>
      <c r="N141" s="281"/>
      <c r="O141" s="281"/>
      <c r="P141" s="281"/>
      <c r="Q141" s="281"/>
      <c r="R141" s="281"/>
      <c r="S141" s="281"/>
      <c r="T141" s="282"/>
      <c r="AT141" s="277" t="s">
        <v>536</v>
      </c>
      <c r="AU141" s="277" t="s">
        <v>22</v>
      </c>
      <c r="AV141" s="274" t="s">
        <v>22</v>
      </c>
      <c r="AW141" s="274" t="s">
        <v>538</v>
      </c>
      <c r="AX141" s="274" t="s">
        <v>21</v>
      </c>
      <c r="AY141" s="277" t="s">
        <v>529</v>
      </c>
    </row>
    <row r="142" spans="1:65" s="274" customFormat="1" ht="11.25">
      <c r="B142" s="275"/>
      <c r="D142" s="276" t="s">
        <v>536</v>
      </c>
      <c r="F142" s="278" t="s">
        <v>680</v>
      </c>
      <c r="H142" s="279">
        <v>1.0149999999999999</v>
      </c>
      <c r="L142" s="275"/>
      <c r="M142" s="280"/>
      <c r="N142" s="281"/>
      <c r="O142" s="281"/>
      <c r="P142" s="281"/>
      <c r="Q142" s="281"/>
      <c r="R142" s="281"/>
      <c r="S142" s="281"/>
      <c r="T142" s="282"/>
      <c r="AT142" s="277" t="s">
        <v>536</v>
      </c>
      <c r="AU142" s="277" t="s">
        <v>22</v>
      </c>
      <c r="AV142" s="274" t="s">
        <v>22</v>
      </c>
      <c r="AW142" s="274" t="s">
        <v>643</v>
      </c>
      <c r="AX142" s="274" t="s">
        <v>21</v>
      </c>
      <c r="AY142" s="277" t="s">
        <v>529</v>
      </c>
    </row>
    <row r="143" spans="1:65" s="203" customFormat="1" ht="24.2" customHeight="1">
      <c r="A143" s="199"/>
      <c r="B143" s="260"/>
      <c r="C143" s="304" t="s">
        <v>713</v>
      </c>
      <c r="D143" s="304" t="s">
        <v>638</v>
      </c>
      <c r="E143" s="305" t="s">
        <v>714</v>
      </c>
      <c r="F143" s="306" t="s">
        <v>715</v>
      </c>
      <c r="G143" s="307" t="s">
        <v>109</v>
      </c>
      <c r="H143" s="308">
        <v>3.0449999999999999</v>
      </c>
      <c r="I143" s="309"/>
      <c r="J143" s="309">
        <f>ROUND(I143*H143,2)</f>
        <v>0</v>
      </c>
      <c r="K143" s="310"/>
      <c r="L143" s="311"/>
      <c r="M143" s="312" t="s">
        <v>518</v>
      </c>
      <c r="N143" s="313" t="s">
        <v>534</v>
      </c>
      <c r="O143" s="270">
        <v>0</v>
      </c>
      <c r="P143" s="270">
        <f>O143*H143</f>
        <v>0</v>
      </c>
      <c r="Q143" s="270">
        <v>6.0000000000000001E-3</v>
      </c>
      <c r="R143" s="270">
        <f>Q143*H143</f>
        <v>1.8270000000000002E-2</v>
      </c>
      <c r="S143" s="270">
        <v>0</v>
      </c>
      <c r="T143" s="271">
        <f>S143*H143</f>
        <v>0</v>
      </c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R143" s="272" t="s">
        <v>28</v>
      </c>
      <c r="AT143" s="272" t="s">
        <v>638</v>
      </c>
      <c r="AU143" s="272" t="s">
        <v>22</v>
      </c>
      <c r="AY143" s="215" t="s">
        <v>529</v>
      </c>
      <c r="BE143" s="273">
        <f>IF(N143="základní",J143,0)</f>
        <v>0</v>
      </c>
      <c r="BF143" s="273">
        <f>IF(N143="snížená",J143,0)</f>
        <v>0</v>
      </c>
      <c r="BG143" s="273">
        <f>IF(N143="zákl. přenesená",J143,0)</f>
        <v>0</v>
      </c>
      <c r="BH143" s="273">
        <f>IF(N143="sníž. přenesená",J143,0)</f>
        <v>0</v>
      </c>
      <c r="BI143" s="273">
        <f>IF(N143="nulová",J143,0)</f>
        <v>0</v>
      </c>
      <c r="BJ143" s="215" t="s">
        <v>21</v>
      </c>
      <c r="BK143" s="273">
        <f>ROUND(I143*H143,2)</f>
        <v>0</v>
      </c>
      <c r="BL143" s="215" t="s">
        <v>24</v>
      </c>
      <c r="BM143" s="272" t="s">
        <v>716</v>
      </c>
    </row>
    <row r="144" spans="1:65" s="274" customFormat="1" ht="11.25">
      <c r="B144" s="275"/>
      <c r="D144" s="276" t="s">
        <v>536</v>
      </c>
      <c r="E144" s="277" t="s">
        <v>518</v>
      </c>
      <c r="F144" s="278" t="s">
        <v>23</v>
      </c>
      <c r="H144" s="279">
        <v>3</v>
      </c>
      <c r="L144" s="275"/>
      <c r="M144" s="280"/>
      <c r="N144" s="281"/>
      <c r="O144" s="281"/>
      <c r="P144" s="281"/>
      <c r="Q144" s="281"/>
      <c r="R144" s="281"/>
      <c r="S144" s="281"/>
      <c r="T144" s="282"/>
      <c r="AT144" s="277" t="s">
        <v>536</v>
      </c>
      <c r="AU144" s="277" t="s">
        <v>22</v>
      </c>
      <c r="AV144" s="274" t="s">
        <v>22</v>
      </c>
      <c r="AW144" s="274" t="s">
        <v>538</v>
      </c>
      <c r="AX144" s="274" t="s">
        <v>21</v>
      </c>
      <c r="AY144" s="277" t="s">
        <v>529</v>
      </c>
    </row>
    <row r="145" spans="1:65" s="274" customFormat="1" ht="11.25">
      <c r="B145" s="275"/>
      <c r="D145" s="276" t="s">
        <v>536</v>
      </c>
      <c r="F145" s="278" t="s">
        <v>690</v>
      </c>
      <c r="H145" s="279">
        <v>3.0449999999999999</v>
      </c>
      <c r="L145" s="275"/>
      <c r="M145" s="280"/>
      <c r="N145" s="281"/>
      <c r="O145" s="281"/>
      <c r="P145" s="281"/>
      <c r="Q145" s="281"/>
      <c r="R145" s="281"/>
      <c r="S145" s="281"/>
      <c r="T145" s="282"/>
      <c r="AT145" s="277" t="s">
        <v>536</v>
      </c>
      <c r="AU145" s="277" t="s">
        <v>22</v>
      </c>
      <c r="AV145" s="274" t="s">
        <v>22</v>
      </c>
      <c r="AW145" s="274" t="s">
        <v>643</v>
      </c>
      <c r="AX145" s="274" t="s">
        <v>21</v>
      </c>
      <c r="AY145" s="277" t="s">
        <v>529</v>
      </c>
    </row>
    <row r="146" spans="1:65" s="203" customFormat="1" ht="14.45" customHeight="1">
      <c r="A146" s="199"/>
      <c r="B146" s="260"/>
      <c r="C146" s="261" t="s">
        <v>717</v>
      </c>
      <c r="D146" s="261" t="s">
        <v>531</v>
      </c>
      <c r="E146" s="262" t="s">
        <v>718</v>
      </c>
      <c r="F146" s="263" t="s">
        <v>719</v>
      </c>
      <c r="G146" s="264" t="s">
        <v>109</v>
      </c>
      <c r="H146" s="265">
        <v>3</v>
      </c>
      <c r="I146" s="266"/>
      <c r="J146" s="266">
        <f>ROUND(I146*H146,2)</f>
        <v>0</v>
      </c>
      <c r="K146" s="267"/>
      <c r="L146" s="204"/>
      <c r="M146" s="268" t="s">
        <v>518</v>
      </c>
      <c r="N146" s="269" t="s">
        <v>534</v>
      </c>
      <c r="O146" s="270">
        <v>15.428000000000001</v>
      </c>
      <c r="P146" s="270">
        <f>O146*H146</f>
        <v>46.284000000000006</v>
      </c>
      <c r="Q146" s="270">
        <v>1.12181</v>
      </c>
      <c r="R146" s="270">
        <f>Q146*H146</f>
        <v>3.3654299999999999</v>
      </c>
      <c r="S146" s="270">
        <v>0</v>
      </c>
      <c r="T146" s="271">
        <f>S146*H146</f>
        <v>0</v>
      </c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/>
      <c r="AR146" s="272" t="s">
        <v>24</v>
      </c>
      <c r="AT146" s="272" t="s">
        <v>531</v>
      </c>
      <c r="AU146" s="272" t="s">
        <v>22</v>
      </c>
      <c r="AY146" s="215" t="s">
        <v>529</v>
      </c>
      <c r="BE146" s="273">
        <f>IF(N146="základní",J146,0)</f>
        <v>0</v>
      </c>
      <c r="BF146" s="273">
        <f>IF(N146="snížená",J146,0)</f>
        <v>0</v>
      </c>
      <c r="BG146" s="273">
        <f>IF(N146="zákl. přenesená",J146,0)</f>
        <v>0</v>
      </c>
      <c r="BH146" s="273">
        <f>IF(N146="sníž. přenesená",J146,0)</f>
        <v>0</v>
      </c>
      <c r="BI146" s="273">
        <f>IF(N146="nulová",J146,0)</f>
        <v>0</v>
      </c>
      <c r="BJ146" s="215" t="s">
        <v>21</v>
      </c>
      <c r="BK146" s="273">
        <f>ROUND(I146*H146,2)</f>
        <v>0</v>
      </c>
      <c r="BL146" s="215" t="s">
        <v>24</v>
      </c>
      <c r="BM146" s="272" t="s">
        <v>720</v>
      </c>
    </row>
    <row r="147" spans="1:65" s="203" customFormat="1" ht="29.25">
      <c r="A147" s="199"/>
      <c r="B147" s="204"/>
      <c r="C147" s="199"/>
      <c r="D147" s="276" t="s">
        <v>613</v>
      </c>
      <c r="E147" s="199"/>
      <c r="F147" s="299" t="s">
        <v>721</v>
      </c>
      <c r="G147" s="199"/>
      <c r="H147" s="199"/>
      <c r="I147" s="199"/>
      <c r="J147" s="199"/>
      <c r="K147" s="199"/>
      <c r="L147" s="204"/>
      <c r="M147" s="300"/>
      <c r="N147" s="301"/>
      <c r="O147" s="302"/>
      <c r="P147" s="302"/>
      <c r="Q147" s="302"/>
      <c r="R147" s="302"/>
      <c r="S147" s="302"/>
      <c r="T147" s="303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T147" s="215" t="s">
        <v>613</v>
      </c>
      <c r="AU147" s="215" t="s">
        <v>22</v>
      </c>
    </row>
    <row r="148" spans="1:65" s="274" customFormat="1" ht="11.25">
      <c r="B148" s="275"/>
      <c r="D148" s="276" t="s">
        <v>536</v>
      </c>
      <c r="E148" s="277" t="s">
        <v>518</v>
      </c>
      <c r="F148" s="278" t="s">
        <v>722</v>
      </c>
      <c r="H148" s="279">
        <v>3</v>
      </c>
      <c r="L148" s="275"/>
      <c r="M148" s="280"/>
      <c r="N148" s="281"/>
      <c r="O148" s="281"/>
      <c r="P148" s="281"/>
      <c r="Q148" s="281"/>
      <c r="R148" s="281"/>
      <c r="S148" s="281"/>
      <c r="T148" s="282"/>
      <c r="AT148" s="277" t="s">
        <v>536</v>
      </c>
      <c r="AU148" s="277" t="s">
        <v>22</v>
      </c>
      <c r="AV148" s="274" t="s">
        <v>22</v>
      </c>
      <c r="AW148" s="274" t="s">
        <v>538</v>
      </c>
      <c r="AX148" s="274" t="s">
        <v>21</v>
      </c>
      <c r="AY148" s="277" t="s">
        <v>529</v>
      </c>
    </row>
    <row r="149" spans="1:65" s="203" customFormat="1" ht="14.45" customHeight="1">
      <c r="A149" s="199"/>
      <c r="B149" s="260"/>
      <c r="C149" s="261" t="s">
        <v>723</v>
      </c>
      <c r="D149" s="261" t="s">
        <v>531</v>
      </c>
      <c r="E149" s="262" t="s">
        <v>724</v>
      </c>
      <c r="F149" s="263" t="s">
        <v>725</v>
      </c>
      <c r="G149" s="264" t="s">
        <v>109</v>
      </c>
      <c r="H149" s="265">
        <v>3</v>
      </c>
      <c r="I149" s="266"/>
      <c r="J149" s="266">
        <f>ROUND(I149*H149,2)</f>
        <v>0</v>
      </c>
      <c r="K149" s="267"/>
      <c r="L149" s="204"/>
      <c r="M149" s="268" t="s">
        <v>518</v>
      </c>
      <c r="N149" s="269" t="s">
        <v>534</v>
      </c>
      <c r="O149" s="270">
        <v>15.428000000000001</v>
      </c>
      <c r="P149" s="270">
        <f>O149*H149</f>
        <v>46.284000000000006</v>
      </c>
      <c r="Q149" s="270">
        <v>1.12181</v>
      </c>
      <c r="R149" s="270">
        <f>Q149*H149</f>
        <v>3.3654299999999999</v>
      </c>
      <c r="S149" s="270">
        <v>0</v>
      </c>
      <c r="T149" s="271">
        <f>S149*H149</f>
        <v>0</v>
      </c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R149" s="272" t="s">
        <v>24</v>
      </c>
      <c r="AT149" s="272" t="s">
        <v>531</v>
      </c>
      <c r="AU149" s="272" t="s">
        <v>22</v>
      </c>
      <c r="AY149" s="215" t="s">
        <v>529</v>
      </c>
      <c r="BE149" s="273">
        <f>IF(N149="základní",J149,0)</f>
        <v>0</v>
      </c>
      <c r="BF149" s="273">
        <f>IF(N149="snížená",J149,0)</f>
        <v>0</v>
      </c>
      <c r="BG149" s="273">
        <f>IF(N149="zákl. přenesená",J149,0)</f>
        <v>0</v>
      </c>
      <c r="BH149" s="273">
        <f>IF(N149="sníž. přenesená",J149,0)</f>
        <v>0</v>
      </c>
      <c r="BI149" s="273">
        <f>IF(N149="nulová",J149,0)</f>
        <v>0</v>
      </c>
      <c r="BJ149" s="215" t="s">
        <v>21</v>
      </c>
      <c r="BK149" s="273">
        <f>ROUND(I149*H149,2)</f>
        <v>0</v>
      </c>
      <c r="BL149" s="215" t="s">
        <v>24</v>
      </c>
      <c r="BM149" s="272" t="s">
        <v>726</v>
      </c>
    </row>
    <row r="150" spans="1:65" s="203" customFormat="1" ht="29.25">
      <c r="A150" s="199"/>
      <c r="B150" s="204"/>
      <c r="C150" s="199"/>
      <c r="D150" s="276" t="s">
        <v>613</v>
      </c>
      <c r="E150" s="199"/>
      <c r="F150" s="299" t="s">
        <v>727</v>
      </c>
      <c r="G150" s="199"/>
      <c r="H150" s="199"/>
      <c r="I150" s="199"/>
      <c r="J150" s="199"/>
      <c r="K150" s="199"/>
      <c r="L150" s="204"/>
      <c r="M150" s="300"/>
      <c r="N150" s="301"/>
      <c r="O150" s="302"/>
      <c r="P150" s="302"/>
      <c r="Q150" s="302"/>
      <c r="R150" s="302"/>
      <c r="S150" s="302"/>
      <c r="T150" s="303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T150" s="215" t="s">
        <v>613</v>
      </c>
      <c r="AU150" s="215" t="s">
        <v>22</v>
      </c>
    </row>
    <row r="151" spans="1:65" s="274" customFormat="1" ht="11.25">
      <c r="B151" s="275"/>
      <c r="D151" s="276" t="s">
        <v>536</v>
      </c>
      <c r="E151" s="277" t="s">
        <v>518</v>
      </c>
      <c r="F151" s="278" t="s">
        <v>722</v>
      </c>
      <c r="H151" s="279">
        <v>3</v>
      </c>
      <c r="L151" s="275"/>
      <c r="M151" s="280"/>
      <c r="N151" s="281"/>
      <c r="O151" s="281"/>
      <c r="P151" s="281"/>
      <c r="Q151" s="281"/>
      <c r="R151" s="281"/>
      <c r="S151" s="281"/>
      <c r="T151" s="282"/>
      <c r="AT151" s="277" t="s">
        <v>536</v>
      </c>
      <c r="AU151" s="277" t="s">
        <v>22</v>
      </c>
      <c r="AV151" s="274" t="s">
        <v>22</v>
      </c>
      <c r="AW151" s="274" t="s">
        <v>538</v>
      </c>
      <c r="AX151" s="274" t="s">
        <v>21</v>
      </c>
      <c r="AY151" s="277" t="s">
        <v>529</v>
      </c>
    </row>
    <row r="152" spans="1:65" s="203" customFormat="1" ht="24.2" customHeight="1">
      <c r="A152" s="199"/>
      <c r="B152" s="260"/>
      <c r="C152" s="261" t="s">
        <v>728</v>
      </c>
      <c r="D152" s="261" t="s">
        <v>531</v>
      </c>
      <c r="E152" s="262" t="s">
        <v>729</v>
      </c>
      <c r="F152" s="263" t="s">
        <v>730</v>
      </c>
      <c r="G152" s="264" t="s">
        <v>731</v>
      </c>
      <c r="H152" s="265">
        <v>3</v>
      </c>
      <c r="I152" s="266"/>
      <c r="J152" s="266">
        <f>ROUND(I152*H152,2)</f>
        <v>0</v>
      </c>
      <c r="K152" s="267"/>
      <c r="L152" s="204"/>
      <c r="M152" s="268" t="s">
        <v>518</v>
      </c>
      <c r="N152" s="269" t="s">
        <v>534</v>
      </c>
      <c r="O152" s="270">
        <v>0.82799999999999996</v>
      </c>
      <c r="P152" s="270">
        <f>O152*H152</f>
        <v>2.484</v>
      </c>
      <c r="Q152" s="270">
        <v>1E-4</v>
      </c>
      <c r="R152" s="270">
        <f>Q152*H152</f>
        <v>3.0000000000000003E-4</v>
      </c>
      <c r="S152" s="270">
        <v>0</v>
      </c>
      <c r="T152" s="271">
        <f>S152*H152</f>
        <v>0</v>
      </c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/>
      <c r="AR152" s="272" t="s">
        <v>24</v>
      </c>
      <c r="AT152" s="272" t="s">
        <v>531</v>
      </c>
      <c r="AU152" s="272" t="s">
        <v>22</v>
      </c>
      <c r="AY152" s="215" t="s">
        <v>529</v>
      </c>
      <c r="BE152" s="273">
        <f>IF(N152="základní",J152,0)</f>
        <v>0</v>
      </c>
      <c r="BF152" s="273">
        <f>IF(N152="snížená",J152,0)</f>
        <v>0</v>
      </c>
      <c r="BG152" s="273">
        <f>IF(N152="zákl. přenesená",J152,0)</f>
        <v>0</v>
      </c>
      <c r="BH152" s="273">
        <f>IF(N152="sníž. přenesená",J152,0)</f>
        <v>0</v>
      </c>
      <c r="BI152" s="273">
        <f>IF(N152="nulová",J152,0)</f>
        <v>0</v>
      </c>
      <c r="BJ152" s="215" t="s">
        <v>21</v>
      </c>
      <c r="BK152" s="273">
        <f>ROUND(I152*H152,2)</f>
        <v>0</v>
      </c>
      <c r="BL152" s="215" t="s">
        <v>24</v>
      </c>
      <c r="BM152" s="272" t="s">
        <v>732</v>
      </c>
    </row>
    <row r="153" spans="1:65" s="274" customFormat="1" ht="11.25">
      <c r="B153" s="275"/>
      <c r="D153" s="276" t="s">
        <v>536</v>
      </c>
      <c r="E153" s="277" t="s">
        <v>518</v>
      </c>
      <c r="F153" s="278" t="s">
        <v>23</v>
      </c>
      <c r="H153" s="279">
        <v>3</v>
      </c>
      <c r="L153" s="275"/>
      <c r="M153" s="280"/>
      <c r="N153" s="281"/>
      <c r="O153" s="281"/>
      <c r="P153" s="281"/>
      <c r="Q153" s="281"/>
      <c r="R153" s="281"/>
      <c r="S153" s="281"/>
      <c r="T153" s="282"/>
      <c r="AT153" s="277" t="s">
        <v>536</v>
      </c>
      <c r="AU153" s="277" t="s">
        <v>22</v>
      </c>
      <c r="AV153" s="274" t="s">
        <v>22</v>
      </c>
      <c r="AW153" s="274" t="s">
        <v>538</v>
      </c>
      <c r="AX153" s="274" t="s">
        <v>21</v>
      </c>
      <c r="AY153" s="277" t="s">
        <v>529</v>
      </c>
    </row>
    <row r="154" spans="1:65" s="203" customFormat="1" ht="24.2" customHeight="1">
      <c r="A154" s="199"/>
      <c r="B154" s="260"/>
      <c r="C154" s="261" t="s">
        <v>733</v>
      </c>
      <c r="D154" s="261" t="s">
        <v>531</v>
      </c>
      <c r="E154" s="262" t="s">
        <v>734</v>
      </c>
      <c r="F154" s="263" t="s">
        <v>735</v>
      </c>
      <c r="G154" s="264" t="s">
        <v>731</v>
      </c>
      <c r="H154" s="265">
        <v>3</v>
      </c>
      <c r="I154" s="266"/>
      <c r="J154" s="266">
        <f>ROUND(I154*H154,2)</f>
        <v>0</v>
      </c>
      <c r="K154" s="267"/>
      <c r="L154" s="204"/>
      <c r="M154" s="268" t="s">
        <v>518</v>
      </c>
      <c r="N154" s="269" t="s">
        <v>534</v>
      </c>
      <c r="O154" s="270">
        <v>0.82799999999999996</v>
      </c>
      <c r="P154" s="270">
        <f>O154*H154</f>
        <v>2.484</v>
      </c>
      <c r="Q154" s="270">
        <v>1.8000000000000001E-4</v>
      </c>
      <c r="R154" s="270">
        <f>Q154*H154</f>
        <v>5.4000000000000001E-4</v>
      </c>
      <c r="S154" s="270">
        <v>0</v>
      </c>
      <c r="T154" s="271">
        <f>S154*H154</f>
        <v>0</v>
      </c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R154" s="272" t="s">
        <v>24</v>
      </c>
      <c r="AT154" s="272" t="s">
        <v>531</v>
      </c>
      <c r="AU154" s="272" t="s">
        <v>22</v>
      </c>
      <c r="AY154" s="215" t="s">
        <v>529</v>
      </c>
      <c r="BE154" s="273">
        <f>IF(N154="základní",J154,0)</f>
        <v>0</v>
      </c>
      <c r="BF154" s="273">
        <f>IF(N154="snížená",J154,0)</f>
        <v>0</v>
      </c>
      <c r="BG154" s="273">
        <f>IF(N154="zákl. přenesená",J154,0)</f>
        <v>0</v>
      </c>
      <c r="BH154" s="273">
        <f>IF(N154="sníž. přenesená",J154,0)</f>
        <v>0</v>
      </c>
      <c r="BI154" s="273">
        <f>IF(N154="nulová",J154,0)</f>
        <v>0</v>
      </c>
      <c r="BJ154" s="215" t="s">
        <v>21</v>
      </c>
      <c r="BK154" s="273">
        <f>ROUND(I154*H154,2)</f>
        <v>0</v>
      </c>
      <c r="BL154" s="215" t="s">
        <v>24</v>
      </c>
      <c r="BM154" s="272" t="s">
        <v>736</v>
      </c>
    </row>
    <row r="155" spans="1:65" s="274" customFormat="1" ht="11.25">
      <c r="B155" s="275"/>
      <c r="D155" s="276" t="s">
        <v>536</v>
      </c>
      <c r="E155" s="277" t="s">
        <v>518</v>
      </c>
      <c r="F155" s="278" t="s">
        <v>23</v>
      </c>
      <c r="H155" s="279">
        <v>3</v>
      </c>
      <c r="L155" s="275"/>
      <c r="M155" s="280"/>
      <c r="N155" s="281"/>
      <c r="O155" s="281"/>
      <c r="P155" s="281"/>
      <c r="Q155" s="281"/>
      <c r="R155" s="281"/>
      <c r="S155" s="281"/>
      <c r="T155" s="282"/>
      <c r="AT155" s="277" t="s">
        <v>536</v>
      </c>
      <c r="AU155" s="277" t="s">
        <v>22</v>
      </c>
      <c r="AV155" s="274" t="s">
        <v>22</v>
      </c>
      <c r="AW155" s="274" t="s">
        <v>538</v>
      </c>
      <c r="AX155" s="274" t="s">
        <v>21</v>
      </c>
      <c r="AY155" s="277" t="s">
        <v>529</v>
      </c>
    </row>
    <row r="156" spans="1:65" s="203" customFormat="1" ht="24.2" customHeight="1">
      <c r="A156" s="199"/>
      <c r="B156" s="260"/>
      <c r="C156" s="261" t="s">
        <v>737</v>
      </c>
      <c r="D156" s="261" t="s">
        <v>531</v>
      </c>
      <c r="E156" s="262" t="s">
        <v>738</v>
      </c>
      <c r="F156" s="263" t="s">
        <v>739</v>
      </c>
      <c r="G156" s="264" t="s">
        <v>109</v>
      </c>
      <c r="H156" s="265">
        <v>2</v>
      </c>
      <c r="I156" s="266"/>
      <c r="J156" s="266">
        <f>ROUND(I156*H156,2)</f>
        <v>0</v>
      </c>
      <c r="K156" s="267"/>
      <c r="L156" s="204"/>
      <c r="M156" s="268" t="s">
        <v>518</v>
      </c>
      <c r="N156" s="269" t="s">
        <v>534</v>
      </c>
      <c r="O156" s="270">
        <v>19.105</v>
      </c>
      <c r="P156" s="270">
        <f>O156*H156</f>
        <v>38.21</v>
      </c>
      <c r="Q156" s="270">
        <v>1.92726</v>
      </c>
      <c r="R156" s="270">
        <f>Q156*H156</f>
        <v>3.8545199999999999</v>
      </c>
      <c r="S156" s="270">
        <v>0</v>
      </c>
      <c r="T156" s="271">
        <f>S156*H156</f>
        <v>0</v>
      </c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/>
      <c r="AR156" s="272" t="s">
        <v>24</v>
      </c>
      <c r="AT156" s="272" t="s">
        <v>531</v>
      </c>
      <c r="AU156" s="272" t="s">
        <v>22</v>
      </c>
      <c r="AY156" s="215" t="s">
        <v>529</v>
      </c>
      <c r="BE156" s="273">
        <f>IF(N156="základní",J156,0)</f>
        <v>0</v>
      </c>
      <c r="BF156" s="273">
        <f>IF(N156="snížená",J156,0)</f>
        <v>0</v>
      </c>
      <c r="BG156" s="273">
        <f>IF(N156="zákl. přenesená",J156,0)</f>
        <v>0</v>
      </c>
      <c r="BH156" s="273">
        <f>IF(N156="sníž. přenesená",J156,0)</f>
        <v>0</v>
      </c>
      <c r="BI156" s="273">
        <f>IF(N156="nulová",J156,0)</f>
        <v>0</v>
      </c>
      <c r="BJ156" s="215" t="s">
        <v>21</v>
      </c>
      <c r="BK156" s="273">
        <f>ROUND(I156*H156,2)</f>
        <v>0</v>
      </c>
      <c r="BL156" s="215" t="s">
        <v>24</v>
      </c>
      <c r="BM156" s="272" t="s">
        <v>740</v>
      </c>
    </row>
    <row r="157" spans="1:65" s="274" customFormat="1" ht="11.25">
      <c r="B157" s="275"/>
      <c r="D157" s="276" t="s">
        <v>536</v>
      </c>
      <c r="E157" s="277" t="s">
        <v>518</v>
      </c>
      <c r="F157" s="278" t="s">
        <v>22</v>
      </c>
      <c r="H157" s="279">
        <v>2</v>
      </c>
      <c r="L157" s="275"/>
      <c r="M157" s="280"/>
      <c r="N157" s="281"/>
      <c r="O157" s="281"/>
      <c r="P157" s="281"/>
      <c r="Q157" s="281"/>
      <c r="R157" s="281"/>
      <c r="S157" s="281"/>
      <c r="T157" s="282"/>
      <c r="AT157" s="277" t="s">
        <v>536</v>
      </c>
      <c r="AU157" s="277" t="s">
        <v>22</v>
      </c>
      <c r="AV157" s="274" t="s">
        <v>22</v>
      </c>
      <c r="AW157" s="274" t="s">
        <v>538</v>
      </c>
      <c r="AX157" s="274" t="s">
        <v>21</v>
      </c>
      <c r="AY157" s="277" t="s">
        <v>529</v>
      </c>
    </row>
    <row r="158" spans="1:65" s="203" customFormat="1" ht="24.2" customHeight="1">
      <c r="A158" s="199"/>
      <c r="B158" s="260"/>
      <c r="C158" s="304" t="s">
        <v>741</v>
      </c>
      <c r="D158" s="304" t="s">
        <v>638</v>
      </c>
      <c r="E158" s="305" t="s">
        <v>742</v>
      </c>
      <c r="F158" s="306" t="s">
        <v>743</v>
      </c>
      <c r="G158" s="307" t="s">
        <v>109</v>
      </c>
      <c r="H158" s="308">
        <v>2</v>
      </c>
      <c r="I158" s="309"/>
      <c r="J158" s="309">
        <f>ROUND(I158*H158,2)</f>
        <v>0</v>
      </c>
      <c r="K158" s="310"/>
      <c r="L158" s="311"/>
      <c r="M158" s="312" t="s">
        <v>518</v>
      </c>
      <c r="N158" s="313" t="s">
        <v>534</v>
      </c>
      <c r="O158" s="270">
        <v>0</v>
      </c>
      <c r="P158" s="270">
        <f>O158*H158</f>
        <v>0</v>
      </c>
      <c r="Q158" s="270">
        <v>1.29</v>
      </c>
      <c r="R158" s="270">
        <f>Q158*H158</f>
        <v>2.58</v>
      </c>
      <c r="S158" s="270">
        <v>0</v>
      </c>
      <c r="T158" s="271">
        <f>S158*H158</f>
        <v>0</v>
      </c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R158" s="272" t="s">
        <v>28</v>
      </c>
      <c r="AT158" s="272" t="s">
        <v>638</v>
      </c>
      <c r="AU158" s="272" t="s">
        <v>22</v>
      </c>
      <c r="AY158" s="215" t="s">
        <v>529</v>
      </c>
      <c r="BE158" s="273">
        <f>IF(N158="základní",J158,0)</f>
        <v>0</v>
      </c>
      <c r="BF158" s="273">
        <f>IF(N158="snížená",J158,0)</f>
        <v>0</v>
      </c>
      <c r="BG158" s="273">
        <f>IF(N158="zákl. přenesená",J158,0)</f>
        <v>0</v>
      </c>
      <c r="BH158" s="273">
        <f>IF(N158="sníž. přenesená",J158,0)</f>
        <v>0</v>
      </c>
      <c r="BI158" s="273">
        <f>IF(N158="nulová",J158,0)</f>
        <v>0</v>
      </c>
      <c r="BJ158" s="215" t="s">
        <v>21</v>
      </c>
      <c r="BK158" s="273">
        <f>ROUND(I158*H158,2)</f>
        <v>0</v>
      </c>
      <c r="BL158" s="215" t="s">
        <v>24</v>
      </c>
      <c r="BM158" s="272" t="s">
        <v>744</v>
      </c>
    </row>
    <row r="159" spans="1:65" s="274" customFormat="1" ht="11.25">
      <c r="B159" s="275"/>
      <c r="D159" s="276" t="s">
        <v>536</v>
      </c>
      <c r="E159" s="277" t="s">
        <v>518</v>
      </c>
      <c r="F159" s="278" t="s">
        <v>22</v>
      </c>
      <c r="H159" s="279">
        <v>2</v>
      </c>
      <c r="L159" s="275"/>
      <c r="M159" s="280"/>
      <c r="N159" s="281"/>
      <c r="O159" s="281"/>
      <c r="P159" s="281"/>
      <c r="Q159" s="281"/>
      <c r="R159" s="281"/>
      <c r="S159" s="281"/>
      <c r="T159" s="282"/>
      <c r="AT159" s="277" t="s">
        <v>536</v>
      </c>
      <c r="AU159" s="277" t="s">
        <v>22</v>
      </c>
      <c r="AV159" s="274" t="s">
        <v>22</v>
      </c>
      <c r="AW159" s="274" t="s">
        <v>538</v>
      </c>
      <c r="AX159" s="274" t="s">
        <v>21</v>
      </c>
      <c r="AY159" s="277" t="s">
        <v>529</v>
      </c>
    </row>
    <row r="160" spans="1:65" s="203" customFormat="1" ht="24.2" customHeight="1">
      <c r="A160" s="199"/>
      <c r="B160" s="260"/>
      <c r="C160" s="304" t="s">
        <v>745</v>
      </c>
      <c r="D160" s="304" t="s">
        <v>638</v>
      </c>
      <c r="E160" s="305" t="s">
        <v>746</v>
      </c>
      <c r="F160" s="306" t="s">
        <v>747</v>
      </c>
      <c r="G160" s="307" t="s">
        <v>109</v>
      </c>
      <c r="H160" s="308">
        <v>2</v>
      </c>
      <c r="I160" s="309"/>
      <c r="J160" s="309">
        <f>ROUND(I160*H160,2)</f>
        <v>0</v>
      </c>
      <c r="K160" s="310"/>
      <c r="L160" s="311"/>
      <c r="M160" s="312" t="s">
        <v>518</v>
      </c>
      <c r="N160" s="313" t="s">
        <v>534</v>
      </c>
      <c r="O160" s="270">
        <v>0</v>
      </c>
      <c r="P160" s="270">
        <f>O160*H160</f>
        <v>0</v>
      </c>
      <c r="Q160" s="270">
        <v>0.39300000000000002</v>
      </c>
      <c r="R160" s="270">
        <f>Q160*H160</f>
        <v>0.78600000000000003</v>
      </c>
      <c r="S160" s="270">
        <v>0</v>
      </c>
      <c r="T160" s="271">
        <f>S160*H160</f>
        <v>0</v>
      </c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R160" s="272" t="s">
        <v>28</v>
      </c>
      <c r="AT160" s="272" t="s">
        <v>638</v>
      </c>
      <c r="AU160" s="272" t="s">
        <v>22</v>
      </c>
      <c r="AY160" s="215" t="s">
        <v>529</v>
      </c>
      <c r="BE160" s="273">
        <f>IF(N160="základní",J160,0)</f>
        <v>0</v>
      </c>
      <c r="BF160" s="273">
        <f>IF(N160="snížená",J160,0)</f>
        <v>0</v>
      </c>
      <c r="BG160" s="273">
        <f>IF(N160="zákl. přenesená",J160,0)</f>
        <v>0</v>
      </c>
      <c r="BH160" s="273">
        <f>IF(N160="sníž. přenesená",J160,0)</f>
        <v>0</v>
      </c>
      <c r="BI160" s="273">
        <f>IF(N160="nulová",J160,0)</f>
        <v>0</v>
      </c>
      <c r="BJ160" s="215" t="s">
        <v>21</v>
      </c>
      <c r="BK160" s="273">
        <f>ROUND(I160*H160,2)</f>
        <v>0</v>
      </c>
      <c r="BL160" s="215" t="s">
        <v>24</v>
      </c>
      <c r="BM160" s="272" t="s">
        <v>748</v>
      </c>
    </row>
    <row r="161" spans="1:65" s="274" customFormat="1" ht="11.25">
      <c r="B161" s="275"/>
      <c r="D161" s="276" t="s">
        <v>536</v>
      </c>
      <c r="E161" s="277" t="s">
        <v>518</v>
      </c>
      <c r="F161" s="278" t="s">
        <v>22</v>
      </c>
      <c r="H161" s="279">
        <v>2</v>
      </c>
      <c r="L161" s="275"/>
      <c r="M161" s="280"/>
      <c r="N161" s="281"/>
      <c r="O161" s="281"/>
      <c r="P161" s="281"/>
      <c r="Q161" s="281"/>
      <c r="R161" s="281"/>
      <c r="S161" s="281"/>
      <c r="T161" s="282"/>
      <c r="AT161" s="277" t="s">
        <v>536</v>
      </c>
      <c r="AU161" s="277" t="s">
        <v>22</v>
      </c>
      <c r="AV161" s="274" t="s">
        <v>22</v>
      </c>
      <c r="AW161" s="274" t="s">
        <v>538</v>
      </c>
      <c r="AX161" s="274" t="s">
        <v>21</v>
      </c>
      <c r="AY161" s="277" t="s">
        <v>529</v>
      </c>
    </row>
    <row r="162" spans="1:65" s="203" customFormat="1" ht="24.2" customHeight="1">
      <c r="A162" s="199"/>
      <c r="B162" s="260"/>
      <c r="C162" s="304" t="s">
        <v>749</v>
      </c>
      <c r="D162" s="304" t="s">
        <v>638</v>
      </c>
      <c r="E162" s="305" t="s">
        <v>750</v>
      </c>
      <c r="F162" s="306" t="s">
        <v>751</v>
      </c>
      <c r="G162" s="307" t="s">
        <v>109</v>
      </c>
      <c r="H162" s="308">
        <v>2</v>
      </c>
      <c r="I162" s="309"/>
      <c r="J162" s="309">
        <f>ROUND(I162*H162,2)</f>
        <v>0</v>
      </c>
      <c r="K162" s="310"/>
      <c r="L162" s="311"/>
      <c r="M162" s="312" t="s">
        <v>518</v>
      </c>
      <c r="N162" s="313" t="s">
        <v>534</v>
      </c>
      <c r="O162" s="270">
        <v>0</v>
      </c>
      <c r="P162" s="270">
        <f>O162*H162</f>
        <v>0</v>
      </c>
      <c r="Q162" s="270">
        <v>6.8000000000000005E-2</v>
      </c>
      <c r="R162" s="270">
        <f>Q162*H162</f>
        <v>0.13600000000000001</v>
      </c>
      <c r="S162" s="270">
        <v>0</v>
      </c>
      <c r="T162" s="271">
        <f>S162*H162</f>
        <v>0</v>
      </c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R162" s="272" t="s">
        <v>28</v>
      </c>
      <c r="AT162" s="272" t="s">
        <v>638</v>
      </c>
      <c r="AU162" s="272" t="s">
        <v>22</v>
      </c>
      <c r="AY162" s="215" t="s">
        <v>529</v>
      </c>
      <c r="BE162" s="273">
        <f>IF(N162="základní",J162,0)</f>
        <v>0</v>
      </c>
      <c r="BF162" s="273">
        <f>IF(N162="snížená",J162,0)</f>
        <v>0</v>
      </c>
      <c r="BG162" s="273">
        <f>IF(N162="zákl. přenesená",J162,0)</f>
        <v>0</v>
      </c>
      <c r="BH162" s="273">
        <f>IF(N162="sníž. přenesená",J162,0)</f>
        <v>0</v>
      </c>
      <c r="BI162" s="273">
        <f>IF(N162="nulová",J162,0)</f>
        <v>0</v>
      </c>
      <c r="BJ162" s="215" t="s">
        <v>21</v>
      </c>
      <c r="BK162" s="273">
        <f>ROUND(I162*H162,2)</f>
        <v>0</v>
      </c>
      <c r="BL162" s="215" t="s">
        <v>24</v>
      </c>
      <c r="BM162" s="272" t="s">
        <v>752</v>
      </c>
    </row>
    <row r="163" spans="1:65" s="274" customFormat="1" ht="11.25">
      <c r="B163" s="275"/>
      <c r="D163" s="276" t="s">
        <v>536</v>
      </c>
      <c r="E163" s="277" t="s">
        <v>518</v>
      </c>
      <c r="F163" s="278" t="s">
        <v>22</v>
      </c>
      <c r="H163" s="279">
        <v>2</v>
      </c>
      <c r="L163" s="275"/>
      <c r="M163" s="280"/>
      <c r="N163" s="281"/>
      <c r="O163" s="281"/>
      <c r="P163" s="281"/>
      <c r="Q163" s="281"/>
      <c r="R163" s="281"/>
      <c r="S163" s="281"/>
      <c r="T163" s="282"/>
      <c r="AT163" s="277" t="s">
        <v>536</v>
      </c>
      <c r="AU163" s="277" t="s">
        <v>22</v>
      </c>
      <c r="AV163" s="274" t="s">
        <v>22</v>
      </c>
      <c r="AW163" s="274" t="s">
        <v>538</v>
      </c>
      <c r="AX163" s="274" t="s">
        <v>21</v>
      </c>
      <c r="AY163" s="277" t="s">
        <v>529</v>
      </c>
    </row>
    <row r="164" spans="1:65" s="203" customFormat="1" ht="24.2" customHeight="1">
      <c r="A164" s="199"/>
      <c r="B164" s="260"/>
      <c r="C164" s="304" t="s">
        <v>753</v>
      </c>
      <c r="D164" s="304" t="s">
        <v>638</v>
      </c>
      <c r="E164" s="305" t="s">
        <v>754</v>
      </c>
      <c r="F164" s="306" t="s">
        <v>755</v>
      </c>
      <c r="G164" s="307" t="s">
        <v>109</v>
      </c>
      <c r="H164" s="308">
        <v>20</v>
      </c>
      <c r="I164" s="309"/>
      <c r="J164" s="309">
        <f>ROUND(I164*H164,2)</f>
        <v>0</v>
      </c>
      <c r="K164" s="310"/>
      <c r="L164" s="311"/>
      <c r="M164" s="312" t="s">
        <v>518</v>
      </c>
      <c r="N164" s="313" t="s">
        <v>534</v>
      </c>
      <c r="O164" s="270">
        <v>0</v>
      </c>
      <c r="P164" s="270">
        <f>O164*H164</f>
        <v>0</v>
      </c>
      <c r="Q164" s="270">
        <v>2E-3</v>
      </c>
      <c r="R164" s="270">
        <f>Q164*H164</f>
        <v>0.04</v>
      </c>
      <c r="S164" s="270">
        <v>0</v>
      </c>
      <c r="T164" s="271">
        <f>S164*H164</f>
        <v>0</v>
      </c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R164" s="272" t="s">
        <v>28</v>
      </c>
      <c r="AT164" s="272" t="s">
        <v>638</v>
      </c>
      <c r="AU164" s="272" t="s">
        <v>22</v>
      </c>
      <c r="AY164" s="215" t="s">
        <v>529</v>
      </c>
      <c r="BE164" s="273">
        <f>IF(N164="základní",J164,0)</f>
        <v>0</v>
      </c>
      <c r="BF164" s="273">
        <f>IF(N164="snížená",J164,0)</f>
        <v>0</v>
      </c>
      <c r="BG164" s="273">
        <f>IF(N164="zákl. přenesená",J164,0)</f>
        <v>0</v>
      </c>
      <c r="BH164" s="273">
        <f>IF(N164="sníž. přenesená",J164,0)</f>
        <v>0</v>
      </c>
      <c r="BI164" s="273">
        <f>IF(N164="nulová",J164,0)</f>
        <v>0</v>
      </c>
      <c r="BJ164" s="215" t="s">
        <v>21</v>
      </c>
      <c r="BK164" s="273">
        <f>ROUND(I164*H164,2)</f>
        <v>0</v>
      </c>
      <c r="BL164" s="215" t="s">
        <v>24</v>
      </c>
      <c r="BM164" s="272" t="s">
        <v>756</v>
      </c>
    </row>
    <row r="165" spans="1:65" s="274" customFormat="1" ht="11.25">
      <c r="B165" s="275"/>
      <c r="D165" s="276" t="s">
        <v>536</v>
      </c>
      <c r="E165" s="277" t="s">
        <v>518</v>
      </c>
      <c r="F165" s="278" t="s">
        <v>662</v>
      </c>
      <c r="H165" s="279">
        <v>20</v>
      </c>
      <c r="L165" s="275"/>
      <c r="M165" s="280"/>
      <c r="N165" s="281"/>
      <c r="O165" s="281"/>
      <c r="P165" s="281"/>
      <c r="Q165" s="281"/>
      <c r="R165" s="281"/>
      <c r="S165" s="281"/>
      <c r="T165" s="282"/>
      <c r="AT165" s="277" t="s">
        <v>536</v>
      </c>
      <c r="AU165" s="277" t="s">
        <v>22</v>
      </c>
      <c r="AV165" s="274" t="s">
        <v>22</v>
      </c>
      <c r="AW165" s="274" t="s">
        <v>538</v>
      </c>
      <c r="AX165" s="274" t="s">
        <v>21</v>
      </c>
      <c r="AY165" s="277" t="s">
        <v>529</v>
      </c>
    </row>
    <row r="166" spans="1:65" s="203" customFormat="1" ht="14.45" customHeight="1">
      <c r="A166" s="199"/>
      <c r="B166" s="260"/>
      <c r="C166" s="304" t="s">
        <v>757</v>
      </c>
      <c r="D166" s="304" t="s">
        <v>638</v>
      </c>
      <c r="E166" s="305" t="s">
        <v>758</v>
      </c>
      <c r="F166" s="306" t="s">
        <v>759</v>
      </c>
      <c r="G166" s="307" t="s">
        <v>109</v>
      </c>
      <c r="H166" s="308">
        <v>18</v>
      </c>
      <c r="I166" s="309"/>
      <c r="J166" s="309">
        <f>ROUND(I166*H166,2)</f>
        <v>0</v>
      </c>
      <c r="K166" s="310"/>
      <c r="L166" s="311"/>
      <c r="M166" s="312" t="s">
        <v>518</v>
      </c>
      <c r="N166" s="313" t="s">
        <v>534</v>
      </c>
      <c r="O166" s="270">
        <v>0</v>
      </c>
      <c r="P166" s="270">
        <f>O166*H166</f>
        <v>0</v>
      </c>
      <c r="Q166" s="270">
        <v>0.254</v>
      </c>
      <c r="R166" s="270">
        <f>Q166*H166</f>
        <v>4.5720000000000001</v>
      </c>
      <c r="S166" s="270">
        <v>0</v>
      </c>
      <c r="T166" s="271">
        <f>S166*H166</f>
        <v>0</v>
      </c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R166" s="272" t="s">
        <v>28</v>
      </c>
      <c r="AT166" s="272" t="s">
        <v>638</v>
      </c>
      <c r="AU166" s="272" t="s">
        <v>22</v>
      </c>
      <c r="AY166" s="215" t="s">
        <v>529</v>
      </c>
      <c r="BE166" s="273">
        <f>IF(N166="základní",J166,0)</f>
        <v>0</v>
      </c>
      <c r="BF166" s="273">
        <f>IF(N166="snížená",J166,0)</f>
        <v>0</v>
      </c>
      <c r="BG166" s="273">
        <f>IF(N166="zákl. přenesená",J166,0)</f>
        <v>0</v>
      </c>
      <c r="BH166" s="273">
        <f>IF(N166="sníž. přenesená",J166,0)</f>
        <v>0</v>
      </c>
      <c r="BI166" s="273">
        <f>IF(N166="nulová",J166,0)</f>
        <v>0</v>
      </c>
      <c r="BJ166" s="215" t="s">
        <v>21</v>
      </c>
      <c r="BK166" s="273">
        <f>ROUND(I166*H166,2)</f>
        <v>0</v>
      </c>
      <c r="BL166" s="215" t="s">
        <v>24</v>
      </c>
      <c r="BM166" s="272" t="s">
        <v>760</v>
      </c>
    </row>
    <row r="167" spans="1:65" s="274" customFormat="1" ht="11.25">
      <c r="B167" s="275"/>
      <c r="D167" s="276" t="s">
        <v>536</v>
      </c>
      <c r="E167" s="277" t="s">
        <v>518</v>
      </c>
      <c r="F167" s="278" t="s">
        <v>653</v>
      </c>
      <c r="H167" s="279">
        <v>18</v>
      </c>
      <c r="L167" s="275"/>
      <c r="M167" s="280"/>
      <c r="N167" s="281"/>
      <c r="O167" s="281"/>
      <c r="P167" s="281"/>
      <c r="Q167" s="281"/>
      <c r="R167" s="281"/>
      <c r="S167" s="281"/>
      <c r="T167" s="282"/>
      <c r="AT167" s="277" t="s">
        <v>536</v>
      </c>
      <c r="AU167" s="277" t="s">
        <v>22</v>
      </c>
      <c r="AV167" s="274" t="s">
        <v>22</v>
      </c>
      <c r="AW167" s="274" t="s">
        <v>538</v>
      </c>
      <c r="AX167" s="274" t="s">
        <v>21</v>
      </c>
      <c r="AY167" s="277" t="s">
        <v>529</v>
      </c>
    </row>
    <row r="168" spans="1:65" s="203" customFormat="1" ht="24.2" customHeight="1">
      <c r="A168" s="199"/>
      <c r="B168" s="260"/>
      <c r="C168" s="261" t="s">
        <v>761</v>
      </c>
      <c r="D168" s="261" t="s">
        <v>531</v>
      </c>
      <c r="E168" s="262" t="s">
        <v>762</v>
      </c>
      <c r="F168" s="263" t="s">
        <v>763</v>
      </c>
      <c r="G168" s="264" t="s">
        <v>109</v>
      </c>
      <c r="H168" s="265">
        <v>2</v>
      </c>
      <c r="I168" s="266"/>
      <c r="J168" s="266">
        <f>ROUND(I168*H168,2)</f>
        <v>0</v>
      </c>
      <c r="K168" s="267"/>
      <c r="L168" s="204"/>
      <c r="M168" s="268" t="s">
        <v>518</v>
      </c>
      <c r="N168" s="269" t="s">
        <v>534</v>
      </c>
      <c r="O168" s="270">
        <v>1.492</v>
      </c>
      <c r="P168" s="270">
        <f>O168*H168</f>
        <v>2.984</v>
      </c>
      <c r="Q168" s="270">
        <v>0.21734000000000001</v>
      </c>
      <c r="R168" s="270">
        <f>Q168*H168</f>
        <v>0.43468000000000001</v>
      </c>
      <c r="S168" s="270">
        <v>0</v>
      </c>
      <c r="T168" s="271">
        <f>S168*H168</f>
        <v>0</v>
      </c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R168" s="272" t="s">
        <v>24</v>
      </c>
      <c r="AT168" s="272" t="s">
        <v>531</v>
      </c>
      <c r="AU168" s="272" t="s">
        <v>22</v>
      </c>
      <c r="AY168" s="215" t="s">
        <v>529</v>
      </c>
      <c r="BE168" s="273">
        <f>IF(N168="základní",J168,0)</f>
        <v>0</v>
      </c>
      <c r="BF168" s="273">
        <f>IF(N168="snížená",J168,0)</f>
        <v>0</v>
      </c>
      <c r="BG168" s="273">
        <f>IF(N168="zákl. přenesená",J168,0)</f>
        <v>0</v>
      </c>
      <c r="BH168" s="273">
        <f>IF(N168="sníž. přenesená",J168,0)</f>
        <v>0</v>
      </c>
      <c r="BI168" s="273">
        <f>IF(N168="nulová",J168,0)</f>
        <v>0</v>
      </c>
      <c r="BJ168" s="215" t="s">
        <v>21</v>
      </c>
      <c r="BK168" s="273">
        <f>ROUND(I168*H168,2)</f>
        <v>0</v>
      </c>
      <c r="BL168" s="215" t="s">
        <v>24</v>
      </c>
      <c r="BM168" s="272" t="s">
        <v>764</v>
      </c>
    </row>
    <row r="169" spans="1:65" s="274" customFormat="1" ht="11.25">
      <c r="B169" s="275"/>
      <c r="D169" s="276" t="s">
        <v>536</v>
      </c>
      <c r="E169" s="277" t="s">
        <v>518</v>
      </c>
      <c r="F169" s="278" t="s">
        <v>22</v>
      </c>
      <c r="H169" s="279">
        <v>2</v>
      </c>
      <c r="L169" s="275"/>
      <c r="M169" s="280"/>
      <c r="N169" s="281"/>
      <c r="O169" s="281"/>
      <c r="P169" s="281"/>
      <c r="Q169" s="281"/>
      <c r="R169" s="281"/>
      <c r="S169" s="281"/>
      <c r="T169" s="282"/>
      <c r="AT169" s="277" t="s">
        <v>536</v>
      </c>
      <c r="AU169" s="277" t="s">
        <v>22</v>
      </c>
      <c r="AV169" s="274" t="s">
        <v>22</v>
      </c>
      <c r="AW169" s="274" t="s">
        <v>538</v>
      </c>
      <c r="AX169" s="274" t="s">
        <v>21</v>
      </c>
      <c r="AY169" s="277" t="s">
        <v>529</v>
      </c>
    </row>
    <row r="170" spans="1:65" s="203" customFormat="1" ht="24.2" customHeight="1">
      <c r="A170" s="199"/>
      <c r="B170" s="260"/>
      <c r="C170" s="304" t="s">
        <v>765</v>
      </c>
      <c r="D170" s="304" t="s">
        <v>638</v>
      </c>
      <c r="E170" s="305" t="s">
        <v>766</v>
      </c>
      <c r="F170" s="306" t="s">
        <v>767</v>
      </c>
      <c r="G170" s="307" t="s">
        <v>109</v>
      </c>
      <c r="H170" s="308">
        <v>2</v>
      </c>
      <c r="I170" s="309"/>
      <c r="J170" s="309">
        <f>ROUND(I170*H170,2)</f>
        <v>0</v>
      </c>
      <c r="K170" s="310"/>
      <c r="L170" s="311"/>
      <c r="M170" s="312" t="s">
        <v>518</v>
      </c>
      <c r="N170" s="313" t="s">
        <v>534</v>
      </c>
      <c r="O170" s="270">
        <v>0</v>
      </c>
      <c r="P170" s="270">
        <f>O170*H170</f>
        <v>0</v>
      </c>
      <c r="Q170" s="270">
        <v>2.1999999999999999E-2</v>
      </c>
      <c r="R170" s="270">
        <f>Q170*H170</f>
        <v>4.3999999999999997E-2</v>
      </c>
      <c r="S170" s="270">
        <v>0</v>
      </c>
      <c r="T170" s="271">
        <f>S170*H170</f>
        <v>0</v>
      </c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/>
      <c r="AR170" s="272" t="s">
        <v>28</v>
      </c>
      <c r="AT170" s="272" t="s">
        <v>638</v>
      </c>
      <c r="AU170" s="272" t="s">
        <v>22</v>
      </c>
      <c r="AY170" s="215" t="s">
        <v>529</v>
      </c>
      <c r="BE170" s="273">
        <f>IF(N170="základní",J170,0)</f>
        <v>0</v>
      </c>
      <c r="BF170" s="273">
        <f>IF(N170="snížená",J170,0)</f>
        <v>0</v>
      </c>
      <c r="BG170" s="273">
        <f>IF(N170="zákl. přenesená",J170,0)</f>
        <v>0</v>
      </c>
      <c r="BH170" s="273">
        <f>IF(N170="sníž. přenesená",J170,0)</f>
        <v>0</v>
      </c>
      <c r="BI170" s="273">
        <f>IF(N170="nulová",J170,0)</f>
        <v>0</v>
      </c>
      <c r="BJ170" s="215" t="s">
        <v>21</v>
      </c>
      <c r="BK170" s="273">
        <f>ROUND(I170*H170,2)</f>
        <v>0</v>
      </c>
      <c r="BL170" s="215" t="s">
        <v>24</v>
      </c>
      <c r="BM170" s="272" t="s">
        <v>768</v>
      </c>
    </row>
    <row r="171" spans="1:65" s="203" customFormat="1" ht="24.2" customHeight="1">
      <c r="A171" s="199"/>
      <c r="B171" s="260"/>
      <c r="C171" s="261" t="s">
        <v>769</v>
      </c>
      <c r="D171" s="261" t="s">
        <v>531</v>
      </c>
      <c r="E171" s="262" t="s">
        <v>770</v>
      </c>
      <c r="F171" s="263" t="s">
        <v>771</v>
      </c>
      <c r="G171" s="264" t="s">
        <v>109</v>
      </c>
      <c r="H171" s="265">
        <v>2</v>
      </c>
      <c r="I171" s="266"/>
      <c r="J171" s="266">
        <f>ROUND(I171*H171,2)</f>
        <v>0</v>
      </c>
      <c r="K171" s="267"/>
      <c r="L171" s="204"/>
      <c r="M171" s="268" t="s">
        <v>518</v>
      </c>
      <c r="N171" s="269" t="s">
        <v>534</v>
      </c>
      <c r="O171" s="270">
        <v>0.66</v>
      </c>
      <c r="P171" s="270">
        <f>O171*H171</f>
        <v>1.32</v>
      </c>
      <c r="Q171" s="270">
        <v>0</v>
      </c>
      <c r="R171" s="270">
        <f>Q171*H171</f>
        <v>0</v>
      </c>
      <c r="S171" s="270">
        <v>0.05</v>
      </c>
      <c r="T171" s="271">
        <f>S171*H171</f>
        <v>0.1</v>
      </c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R171" s="272" t="s">
        <v>24</v>
      </c>
      <c r="AT171" s="272" t="s">
        <v>531</v>
      </c>
      <c r="AU171" s="272" t="s">
        <v>22</v>
      </c>
      <c r="AY171" s="215" t="s">
        <v>529</v>
      </c>
      <c r="BE171" s="273">
        <f>IF(N171="základní",J171,0)</f>
        <v>0</v>
      </c>
      <c r="BF171" s="273">
        <f>IF(N171="snížená",J171,0)</f>
        <v>0</v>
      </c>
      <c r="BG171" s="273">
        <f>IF(N171="zákl. přenesená",J171,0)</f>
        <v>0</v>
      </c>
      <c r="BH171" s="273">
        <f>IF(N171="sníž. přenesená",J171,0)</f>
        <v>0</v>
      </c>
      <c r="BI171" s="273">
        <f>IF(N171="nulová",J171,0)</f>
        <v>0</v>
      </c>
      <c r="BJ171" s="215" t="s">
        <v>21</v>
      </c>
      <c r="BK171" s="273">
        <f>ROUND(I171*H171,2)</f>
        <v>0</v>
      </c>
      <c r="BL171" s="215" t="s">
        <v>24</v>
      </c>
      <c r="BM171" s="272" t="s">
        <v>772</v>
      </c>
    </row>
    <row r="172" spans="1:65" s="274" customFormat="1" ht="11.25">
      <c r="B172" s="275"/>
      <c r="D172" s="276" t="s">
        <v>536</v>
      </c>
      <c r="E172" s="277" t="s">
        <v>518</v>
      </c>
      <c r="F172" s="278" t="s">
        <v>773</v>
      </c>
      <c r="H172" s="279">
        <v>2</v>
      </c>
      <c r="L172" s="275"/>
      <c r="M172" s="280"/>
      <c r="N172" s="281"/>
      <c r="O172" s="281"/>
      <c r="P172" s="281"/>
      <c r="Q172" s="281"/>
      <c r="R172" s="281"/>
      <c r="S172" s="281"/>
      <c r="T172" s="282"/>
      <c r="AT172" s="277" t="s">
        <v>536</v>
      </c>
      <c r="AU172" s="277" t="s">
        <v>22</v>
      </c>
      <c r="AV172" s="274" t="s">
        <v>22</v>
      </c>
      <c r="AW172" s="274" t="s">
        <v>538</v>
      </c>
      <c r="AX172" s="274" t="s">
        <v>21</v>
      </c>
      <c r="AY172" s="277" t="s">
        <v>529</v>
      </c>
    </row>
    <row r="173" spans="1:65" s="203" customFormat="1" ht="24.2" customHeight="1">
      <c r="A173" s="199"/>
      <c r="B173" s="260"/>
      <c r="C173" s="261" t="s">
        <v>774</v>
      </c>
      <c r="D173" s="261" t="s">
        <v>531</v>
      </c>
      <c r="E173" s="262" t="s">
        <v>775</v>
      </c>
      <c r="F173" s="263" t="s">
        <v>776</v>
      </c>
      <c r="G173" s="264" t="s">
        <v>109</v>
      </c>
      <c r="H173" s="265">
        <v>1</v>
      </c>
      <c r="I173" s="266"/>
      <c r="J173" s="266">
        <f>ROUND(I173*H173,2)</f>
        <v>0</v>
      </c>
      <c r="K173" s="267"/>
      <c r="L173" s="204"/>
      <c r="M173" s="268" t="s">
        <v>518</v>
      </c>
      <c r="N173" s="269" t="s">
        <v>534</v>
      </c>
      <c r="O173" s="270">
        <v>0.33200000000000002</v>
      </c>
      <c r="P173" s="270">
        <f>O173*H173</f>
        <v>0.33200000000000002</v>
      </c>
      <c r="Q173" s="270">
        <v>0</v>
      </c>
      <c r="R173" s="270">
        <f>Q173*H173</f>
        <v>0</v>
      </c>
      <c r="S173" s="270">
        <v>0.1</v>
      </c>
      <c r="T173" s="271">
        <f>S173*H173</f>
        <v>0.1</v>
      </c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R173" s="272" t="s">
        <v>24</v>
      </c>
      <c r="AT173" s="272" t="s">
        <v>531</v>
      </c>
      <c r="AU173" s="272" t="s">
        <v>22</v>
      </c>
      <c r="AY173" s="215" t="s">
        <v>529</v>
      </c>
      <c r="BE173" s="273">
        <f>IF(N173="základní",J173,0)</f>
        <v>0</v>
      </c>
      <c r="BF173" s="273">
        <f>IF(N173="snížená",J173,0)</f>
        <v>0</v>
      </c>
      <c r="BG173" s="273">
        <f>IF(N173="zákl. přenesená",J173,0)</f>
        <v>0</v>
      </c>
      <c r="BH173" s="273">
        <f>IF(N173="sníž. přenesená",J173,0)</f>
        <v>0</v>
      </c>
      <c r="BI173" s="273">
        <f>IF(N173="nulová",J173,0)</f>
        <v>0</v>
      </c>
      <c r="BJ173" s="215" t="s">
        <v>21</v>
      </c>
      <c r="BK173" s="273">
        <f>ROUND(I173*H173,2)</f>
        <v>0</v>
      </c>
      <c r="BL173" s="215" t="s">
        <v>24</v>
      </c>
      <c r="BM173" s="272" t="s">
        <v>777</v>
      </c>
    </row>
    <row r="174" spans="1:65" s="274" customFormat="1" ht="11.25">
      <c r="B174" s="275"/>
      <c r="D174" s="276" t="s">
        <v>536</v>
      </c>
      <c r="E174" s="277" t="s">
        <v>518</v>
      </c>
      <c r="F174" s="278" t="s">
        <v>778</v>
      </c>
      <c r="H174" s="279">
        <v>1</v>
      </c>
      <c r="L174" s="275"/>
      <c r="M174" s="280"/>
      <c r="N174" s="281"/>
      <c r="O174" s="281"/>
      <c r="P174" s="281"/>
      <c r="Q174" s="281"/>
      <c r="R174" s="281"/>
      <c r="S174" s="281"/>
      <c r="T174" s="282"/>
      <c r="AT174" s="277" t="s">
        <v>536</v>
      </c>
      <c r="AU174" s="277" t="s">
        <v>22</v>
      </c>
      <c r="AV174" s="274" t="s">
        <v>22</v>
      </c>
      <c r="AW174" s="274" t="s">
        <v>538</v>
      </c>
      <c r="AX174" s="274" t="s">
        <v>21</v>
      </c>
      <c r="AY174" s="277" t="s">
        <v>529</v>
      </c>
    </row>
    <row r="175" spans="1:65" s="203" customFormat="1" ht="24.2" customHeight="1">
      <c r="A175" s="199"/>
      <c r="B175" s="260"/>
      <c r="C175" s="261" t="s">
        <v>779</v>
      </c>
      <c r="D175" s="261" t="s">
        <v>531</v>
      </c>
      <c r="E175" s="262" t="s">
        <v>780</v>
      </c>
      <c r="F175" s="263" t="s">
        <v>781</v>
      </c>
      <c r="G175" s="264" t="s">
        <v>109</v>
      </c>
      <c r="H175" s="265">
        <v>2</v>
      </c>
      <c r="I175" s="266"/>
      <c r="J175" s="266">
        <f>ROUND(I175*H175,2)</f>
        <v>0</v>
      </c>
      <c r="K175" s="267"/>
      <c r="L175" s="204"/>
      <c r="M175" s="268" t="s">
        <v>518</v>
      </c>
      <c r="N175" s="269" t="s">
        <v>534</v>
      </c>
      <c r="O175" s="270">
        <v>0.89</v>
      </c>
      <c r="P175" s="270">
        <f>O175*H175</f>
        <v>1.78</v>
      </c>
      <c r="Q175" s="270">
        <v>2.5000000000000001E-2</v>
      </c>
      <c r="R175" s="270">
        <f>Q175*H175</f>
        <v>0.05</v>
      </c>
      <c r="S175" s="270">
        <v>0.05</v>
      </c>
      <c r="T175" s="271">
        <f>S175*H175</f>
        <v>0.1</v>
      </c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/>
      <c r="AR175" s="272" t="s">
        <v>24</v>
      </c>
      <c r="AT175" s="272" t="s">
        <v>531</v>
      </c>
      <c r="AU175" s="272" t="s">
        <v>22</v>
      </c>
      <c r="AY175" s="215" t="s">
        <v>529</v>
      </c>
      <c r="BE175" s="273">
        <f>IF(N175="základní",J175,0)</f>
        <v>0</v>
      </c>
      <c r="BF175" s="273">
        <f>IF(N175="snížená",J175,0)</f>
        <v>0</v>
      </c>
      <c r="BG175" s="273">
        <f>IF(N175="zákl. přenesená",J175,0)</f>
        <v>0</v>
      </c>
      <c r="BH175" s="273">
        <f>IF(N175="sníž. přenesená",J175,0)</f>
        <v>0</v>
      </c>
      <c r="BI175" s="273">
        <f>IF(N175="nulová",J175,0)</f>
        <v>0</v>
      </c>
      <c r="BJ175" s="215" t="s">
        <v>21</v>
      </c>
      <c r="BK175" s="273">
        <f>ROUND(I175*H175,2)</f>
        <v>0</v>
      </c>
      <c r="BL175" s="215" t="s">
        <v>24</v>
      </c>
      <c r="BM175" s="272" t="s">
        <v>782</v>
      </c>
    </row>
    <row r="176" spans="1:65" s="203" customFormat="1" ht="39">
      <c r="A176" s="199"/>
      <c r="B176" s="204"/>
      <c r="C176" s="199"/>
      <c r="D176" s="276" t="s">
        <v>613</v>
      </c>
      <c r="E176" s="199"/>
      <c r="F176" s="299" t="s">
        <v>783</v>
      </c>
      <c r="G176" s="199"/>
      <c r="H176" s="199"/>
      <c r="I176" s="199"/>
      <c r="J176" s="199"/>
      <c r="K176" s="199"/>
      <c r="L176" s="204"/>
      <c r="M176" s="300"/>
      <c r="N176" s="301"/>
      <c r="O176" s="302"/>
      <c r="P176" s="302"/>
      <c r="Q176" s="302"/>
      <c r="R176" s="302"/>
      <c r="S176" s="302"/>
      <c r="T176" s="303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/>
      <c r="AT176" s="215" t="s">
        <v>613</v>
      </c>
      <c r="AU176" s="215" t="s">
        <v>22</v>
      </c>
    </row>
    <row r="177" spans="1:65" s="274" customFormat="1" ht="11.25">
      <c r="B177" s="275"/>
      <c r="D177" s="276" t="s">
        <v>536</v>
      </c>
      <c r="E177" s="277" t="s">
        <v>518</v>
      </c>
      <c r="F177" s="278" t="s">
        <v>784</v>
      </c>
      <c r="H177" s="279">
        <v>2</v>
      </c>
      <c r="L177" s="275"/>
      <c r="M177" s="280"/>
      <c r="N177" s="281"/>
      <c r="O177" s="281"/>
      <c r="P177" s="281"/>
      <c r="Q177" s="281"/>
      <c r="R177" s="281"/>
      <c r="S177" s="281"/>
      <c r="T177" s="282"/>
      <c r="AT177" s="277" t="s">
        <v>536</v>
      </c>
      <c r="AU177" s="277" t="s">
        <v>22</v>
      </c>
      <c r="AV177" s="274" t="s">
        <v>22</v>
      </c>
      <c r="AW177" s="274" t="s">
        <v>538</v>
      </c>
      <c r="AX177" s="274" t="s">
        <v>21</v>
      </c>
      <c r="AY177" s="277" t="s">
        <v>529</v>
      </c>
    </row>
    <row r="178" spans="1:65" s="203" customFormat="1" ht="14.45" customHeight="1">
      <c r="A178" s="199"/>
      <c r="B178" s="260"/>
      <c r="C178" s="261" t="s">
        <v>785</v>
      </c>
      <c r="D178" s="261" t="s">
        <v>531</v>
      </c>
      <c r="E178" s="262" t="s">
        <v>786</v>
      </c>
      <c r="F178" s="263" t="s">
        <v>787</v>
      </c>
      <c r="G178" s="264" t="s">
        <v>252</v>
      </c>
      <c r="H178" s="265">
        <v>60</v>
      </c>
      <c r="I178" s="266"/>
      <c r="J178" s="266">
        <f>ROUND(I178*H178,2)</f>
        <v>0</v>
      </c>
      <c r="K178" s="267"/>
      <c r="L178" s="204"/>
      <c r="M178" s="268" t="s">
        <v>518</v>
      </c>
      <c r="N178" s="269" t="s">
        <v>534</v>
      </c>
      <c r="O178" s="270">
        <v>0</v>
      </c>
      <c r="P178" s="270">
        <f>O178*H178</f>
        <v>0</v>
      </c>
      <c r="Q178" s="270">
        <v>0</v>
      </c>
      <c r="R178" s="270">
        <f>Q178*H178</f>
        <v>0</v>
      </c>
      <c r="S178" s="270">
        <v>0</v>
      </c>
      <c r="T178" s="271">
        <f>S178*H178</f>
        <v>0</v>
      </c>
      <c r="U178" s="199"/>
      <c r="V178" s="199"/>
      <c r="W178" s="199"/>
      <c r="X178" s="199"/>
      <c r="Y178" s="199"/>
      <c r="Z178" s="199"/>
      <c r="AA178" s="199"/>
      <c r="AB178" s="199"/>
      <c r="AC178" s="199"/>
      <c r="AD178" s="199"/>
      <c r="AE178" s="199"/>
      <c r="AR178" s="272" t="s">
        <v>24</v>
      </c>
      <c r="AT178" s="272" t="s">
        <v>531</v>
      </c>
      <c r="AU178" s="272" t="s">
        <v>22</v>
      </c>
      <c r="AY178" s="215" t="s">
        <v>529</v>
      </c>
      <c r="BE178" s="273">
        <f>IF(N178="základní",J178,0)</f>
        <v>0</v>
      </c>
      <c r="BF178" s="273">
        <f>IF(N178="snížená",J178,0)</f>
        <v>0</v>
      </c>
      <c r="BG178" s="273">
        <f>IF(N178="zákl. přenesená",J178,0)</f>
        <v>0</v>
      </c>
      <c r="BH178" s="273">
        <f>IF(N178="sníž. přenesená",J178,0)</f>
        <v>0</v>
      </c>
      <c r="BI178" s="273">
        <f>IF(N178="nulová",J178,0)</f>
        <v>0</v>
      </c>
      <c r="BJ178" s="215" t="s">
        <v>21</v>
      </c>
      <c r="BK178" s="273">
        <f>ROUND(I178*H178,2)</f>
        <v>0</v>
      </c>
      <c r="BL178" s="215" t="s">
        <v>24</v>
      </c>
      <c r="BM178" s="272" t="s">
        <v>788</v>
      </c>
    </row>
    <row r="179" spans="1:65" s="274" customFormat="1" ht="11.25">
      <c r="B179" s="275"/>
      <c r="D179" s="276" t="s">
        <v>536</v>
      </c>
      <c r="E179" s="277" t="s">
        <v>518</v>
      </c>
      <c r="F179" s="278" t="s">
        <v>564</v>
      </c>
      <c r="H179" s="279">
        <v>60</v>
      </c>
      <c r="L179" s="275"/>
      <c r="M179" s="280"/>
      <c r="N179" s="281"/>
      <c r="O179" s="281"/>
      <c r="P179" s="281"/>
      <c r="Q179" s="281"/>
      <c r="R179" s="281"/>
      <c r="S179" s="281"/>
      <c r="T179" s="282"/>
      <c r="AT179" s="277" t="s">
        <v>536</v>
      </c>
      <c r="AU179" s="277" t="s">
        <v>22</v>
      </c>
      <c r="AV179" s="274" t="s">
        <v>22</v>
      </c>
      <c r="AW179" s="274" t="s">
        <v>538</v>
      </c>
      <c r="AX179" s="274" t="s">
        <v>21</v>
      </c>
      <c r="AY179" s="277" t="s">
        <v>529</v>
      </c>
    </row>
    <row r="180" spans="1:65" s="247" customFormat="1" ht="22.9" customHeight="1">
      <c r="B180" s="248"/>
      <c r="C180" s="353"/>
      <c r="D180" s="354" t="s">
        <v>526</v>
      </c>
      <c r="E180" s="355" t="s">
        <v>29</v>
      </c>
      <c r="F180" s="355" t="s">
        <v>789</v>
      </c>
      <c r="G180" s="353"/>
      <c r="H180" s="353"/>
      <c r="I180" s="353"/>
      <c r="J180" s="356">
        <f>SUM(J181:J188)</f>
        <v>0</v>
      </c>
      <c r="L180" s="248"/>
      <c r="M180" s="252"/>
      <c r="N180" s="253"/>
      <c r="O180" s="253"/>
      <c r="P180" s="254">
        <f>SUM(P181:P186)</f>
        <v>3.4970000000000003</v>
      </c>
      <c r="Q180" s="253"/>
      <c r="R180" s="254">
        <f>SUM(R181:R186)</f>
        <v>4.1404805000000007</v>
      </c>
      <c r="S180" s="253"/>
      <c r="T180" s="255">
        <f>SUM(T181:T186)</f>
        <v>0</v>
      </c>
      <c r="AR180" s="249" t="s">
        <v>21</v>
      </c>
      <c r="AT180" s="256" t="s">
        <v>526</v>
      </c>
      <c r="AU180" s="256" t="s">
        <v>21</v>
      </c>
      <c r="AY180" s="249" t="s">
        <v>529</v>
      </c>
      <c r="BK180" s="257">
        <f>SUM(BK181:BK186)</f>
        <v>0</v>
      </c>
    </row>
    <row r="181" spans="1:65" s="203" customFormat="1" ht="24.2" customHeight="1">
      <c r="A181" s="199"/>
      <c r="B181" s="260"/>
      <c r="C181" s="261" t="s">
        <v>790</v>
      </c>
      <c r="D181" s="261" t="s">
        <v>531</v>
      </c>
      <c r="E181" s="262" t="s">
        <v>791</v>
      </c>
      <c r="F181" s="263" t="s">
        <v>792</v>
      </c>
      <c r="G181" s="264" t="s">
        <v>252</v>
      </c>
      <c r="H181" s="265">
        <v>13</v>
      </c>
      <c r="I181" s="266"/>
      <c r="J181" s="266">
        <f>ROUND(I181*H181,2)</f>
        <v>0</v>
      </c>
      <c r="K181" s="267"/>
      <c r="L181" s="204"/>
      <c r="M181" s="268" t="s">
        <v>518</v>
      </c>
      <c r="N181" s="269" t="s">
        <v>534</v>
      </c>
      <c r="O181" s="270">
        <v>0.26900000000000002</v>
      </c>
      <c r="P181" s="270">
        <f>O181*H181</f>
        <v>3.4970000000000003</v>
      </c>
      <c r="Q181" s="270">
        <v>0.29221000000000003</v>
      </c>
      <c r="R181" s="270">
        <f>Q181*H181</f>
        <v>3.7987300000000004</v>
      </c>
      <c r="S181" s="270">
        <v>0</v>
      </c>
      <c r="T181" s="271">
        <f>S181*H181</f>
        <v>0</v>
      </c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/>
      <c r="AR181" s="272" t="s">
        <v>24</v>
      </c>
      <c r="AT181" s="272" t="s">
        <v>531</v>
      </c>
      <c r="AU181" s="272" t="s">
        <v>22</v>
      </c>
      <c r="AY181" s="215" t="s">
        <v>529</v>
      </c>
      <c r="BE181" s="273">
        <f>IF(N181="základní",J181,0)</f>
        <v>0</v>
      </c>
      <c r="BF181" s="273">
        <f>IF(N181="snížená",J181,0)</f>
        <v>0</v>
      </c>
      <c r="BG181" s="273">
        <f>IF(N181="zákl. přenesená",J181,0)</f>
        <v>0</v>
      </c>
      <c r="BH181" s="273">
        <f>IF(N181="sníž. přenesená",J181,0)</f>
        <v>0</v>
      </c>
      <c r="BI181" s="273">
        <f>IF(N181="nulová",J181,0)</f>
        <v>0</v>
      </c>
      <c r="BJ181" s="215" t="s">
        <v>21</v>
      </c>
      <c r="BK181" s="273">
        <f>ROUND(I181*H181,2)</f>
        <v>0</v>
      </c>
      <c r="BL181" s="215" t="s">
        <v>24</v>
      </c>
      <c r="BM181" s="272" t="s">
        <v>793</v>
      </c>
    </row>
    <row r="182" spans="1:65" s="274" customFormat="1" ht="11.25">
      <c r="B182" s="275"/>
      <c r="D182" s="276" t="s">
        <v>536</v>
      </c>
      <c r="E182" s="277" t="s">
        <v>794</v>
      </c>
      <c r="F182" s="278" t="s">
        <v>795</v>
      </c>
      <c r="H182" s="279">
        <v>13</v>
      </c>
      <c r="L182" s="275"/>
      <c r="M182" s="280"/>
      <c r="N182" s="281"/>
      <c r="O182" s="281"/>
      <c r="P182" s="281"/>
      <c r="Q182" s="281"/>
      <c r="R182" s="281"/>
      <c r="S182" s="281"/>
      <c r="T182" s="282"/>
      <c r="AT182" s="277" t="s">
        <v>536</v>
      </c>
      <c r="AU182" s="277" t="s">
        <v>22</v>
      </c>
      <c r="AV182" s="274" t="s">
        <v>22</v>
      </c>
      <c r="AW182" s="274" t="s">
        <v>538</v>
      </c>
      <c r="AX182" s="274" t="s">
        <v>21</v>
      </c>
      <c r="AY182" s="277" t="s">
        <v>529</v>
      </c>
    </row>
    <row r="183" spans="1:65" s="203" customFormat="1" ht="24.2" customHeight="1">
      <c r="A183" s="199"/>
      <c r="B183" s="260"/>
      <c r="C183" s="304" t="s">
        <v>796</v>
      </c>
      <c r="D183" s="304" t="s">
        <v>638</v>
      </c>
      <c r="E183" s="305" t="s">
        <v>797</v>
      </c>
      <c r="F183" s="306" t="s">
        <v>798</v>
      </c>
      <c r="G183" s="307" t="s">
        <v>252</v>
      </c>
      <c r="H183" s="308">
        <v>13.195</v>
      </c>
      <c r="I183" s="309"/>
      <c r="J183" s="309">
        <f>ROUND(I183*H183,2)</f>
        <v>0</v>
      </c>
      <c r="K183" s="310"/>
      <c r="L183" s="311"/>
      <c r="M183" s="312" t="s">
        <v>518</v>
      </c>
      <c r="N183" s="313" t="s">
        <v>534</v>
      </c>
      <c r="O183" s="270">
        <v>0</v>
      </c>
      <c r="P183" s="270">
        <f>O183*H183</f>
        <v>0</v>
      </c>
      <c r="Q183" s="270">
        <v>1.77E-2</v>
      </c>
      <c r="R183" s="270">
        <f>Q183*H183</f>
        <v>0.23355150000000002</v>
      </c>
      <c r="S183" s="270">
        <v>0</v>
      </c>
      <c r="T183" s="271">
        <f>S183*H183</f>
        <v>0</v>
      </c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/>
      <c r="AR183" s="272" t="s">
        <v>28</v>
      </c>
      <c r="AT183" s="272" t="s">
        <v>638</v>
      </c>
      <c r="AU183" s="272" t="s">
        <v>22</v>
      </c>
      <c r="AY183" s="215" t="s">
        <v>529</v>
      </c>
      <c r="BE183" s="273">
        <f>IF(N183="základní",J183,0)</f>
        <v>0</v>
      </c>
      <c r="BF183" s="273">
        <f>IF(N183="snížená",J183,0)</f>
        <v>0</v>
      </c>
      <c r="BG183" s="273">
        <f>IF(N183="zákl. přenesená",J183,0)</f>
        <v>0</v>
      </c>
      <c r="BH183" s="273">
        <f>IF(N183="sníž. přenesená",J183,0)</f>
        <v>0</v>
      </c>
      <c r="BI183" s="273">
        <f>IF(N183="nulová",J183,0)</f>
        <v>0</v>
      </c>
      <c r="BJ183" s="215" t="s">
        <v>21</v>
      </c>
      <c r="BK183" s="273">
        <f>ROUND(I183*H183,2)</f>
        <v>0</v>
      </c>
      <c r="BL183" s="215" t="s">
        <v>24</v>
      </c>
      <c r="BM183" s="272" t="s">
        <v>799</v>
      </c>
    </row>
    <row r="184" spans="1:65" s="274" customFormat="1" ht="11.25">
      <c r="B184" s="275"/>
      <c r="D184" s="276" t="s">
        <v>536</v>
      </c>
      <c r="E184" s="277" t="s">
        <v>518</v>
      </c>
      <c r="F184" s="278" t="s">
        <v>800</v>
      </c>
      <c r="H184" s="279">
        <v>13.195</v>
      </c>
      <c r="L184" s="275"/>
      <c r="M184" s="280"/>
      <c r="N184" s="281"/>
      <c r="O184" s="281"/>
      <c r="P184" s="281"/>
      <c r="Q184" s="281"/>
      <c r="R184" s="281"/>
      <c r="S184" s="281"/>
      <c r="T184" s="282"/>
      <c r="AT184" s="277" t="s">
        <v>536</v>
      </c>
      <c r="AU184" s="277" t="s">
        <v>22</v>
      </c>
      <c r="AV184" s="274" t="s">
        <v>22</v>
      </c>
      <c r="AW184" s="274" t="s">
        <v>538</v>
      </c>
      <c r="AX184" s="274" t="s">
        <v>21</v>
      </c>
      <c r="AY184" s="277" t="s">
        <v>529</v>
      </c>
    </row>
    <row r="185" spans="1:65" s="203" customFormat="1" ht="14.45" customHeight="1">
      <c r="A185" s="199"/>
      <c r="B185" s="260"/>
      <c r="C185" s="304" t="s">
        <v>801</v>
      </c>
      <c r="D185" s="304" t="s">
        <v>638</v>
      </c>
      <c r="E185" s="305" t="s">
        <v>802</v>
      </c>
      <c r="F185" s="306" t="s">
        <v>803</v>
      </c>
      <c r="G185" s="307" t="s">
        <v>109</v>
      </c>
      <c r="H185" s="308">
        <v>26.39</v>
      </c>
      <c r="I185" s="309"/>
      <c r="J185" s="309">
        <f>ROUND(I185*H185,2)</f>
        <v>0</v>
      </c>
      <c r="K185" s="310"/>
      <c r="L185" s="311"/>
      <c r="M185" s="312" t="s">
        <v>518</v>
      </c>
      <c r="N185" s="313" t="s">
        <v>534</v>
      </c>
      <c r="O185" s="270">
        <v>0</v>
      </c>
      <c r="P185" s="270">
        <f>O185*H185</f>
        <v>0</v>
      </c>
      <c r="Q185" s="270">
        <v>4.1000000000000003E-3</v>
      </c>
      <c r="R185" s="270">
        <f>Q185*H185</f>
        <v>0.10819900000000002</v>
      </c>
      <c r="S185" s="270">
        <v>0</v>
      </c>
      <c r="T185" s="271">
        <f>S185*H185</f>
        <v>0</v>
      </c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/>
      <c r="AR185" s="272" t="s">
        <v>28</v>
      </c>
      <c r="AT185" s="272" t="s">
        <v>638</v>
      </c>
      <c r="AU185" s="272" t="s">
        <v>22</v>
      </c>
      <c r="AY185" s="215" t="s">
        <v>529</v>
      </c>
      <c r="BE185" s="273">
        <f>IF(N185="základní",J185,0)</f>
        <v>0</v>
      </c>
      <c r="BF185" s="273">
        <f>IF(N185="snížená",J185,0)</f>
        <v>0</v>
      </c>
      <c r="BG185" s="273">
        <f>IF(N185="zákl. přenesená",J185,0)</f>
        <v>0</v>
      </c>
      <c r="BH185" s="273">
        <f>IF(N185="sníž. přenesená",J185,0)</f>
        <v>0</v>
      </c>
      <c r="BI185" s="273">
        <f>IF(N185="nulová",J185,0)</f>
        <v>0</v>
      </c>
      <c r="BJ185" s="215" t="s">
        <v>21</v>
      </c>
      <c r="BK185" s="273">
        <f>ROUND(I185*H185,2)</f>
        <v>0</v>
      </c>
      <c r="BL185" s="215" t="s">
        <v>24</v>
      </c>
      <c r="BM185" s="272" t="s">
        <v>804</v>
      </c>
    </row>
    <row r="186" spans="1:65" s="274" customFormat="1" ht="11.25">
      <c r="B186" s="275"/>
      <c r="D186" s="276" t="s">
        <v>536</v>
      </c>
      <c r="E186" s="277" t="s">
        <v>518</v>
      </c>
      <c r="F186" s="278" t="s">
        <v>805</v>
      </c>
      <c r="H186" s="279">
        <v>26.39</v>
      </c>
      <c r="L186" s="275"/>
      <c r="M186" s="280"/>
      <c r="N186" s="281"/>
      <c r="O186" s="281"/>
      <c r="P186" s="281"/>
      <c r="Q186" s="281"/>
      <c r="R186" s="281"/>
      <c r="S186" s="281"/>
      <c r="T186" s="282"/>
      <c r="AT186" s="277" t="s">
        <v>536</v>
      </c>
      <c r="AU186" s="277" t="s">
        <v>22</v>
      </c>
      <c r="AV186" s="274" t="s">
        <v>22</v>
      </c>
      <c r="AW186" s="274" t="s">
        <v>538</v>
      </c>
      <c r="AX186" s="274" t="s">
        <v>21</v>
      </c>
      <c r="AY186" s="277" t="s">
        <v>529</v>
      </c>
    </row>
    <row r="187" spans="1:65" s="247" customFormat="1" ht="22.9" customHeight="1">
      <c r="B187" s="248"/>
      <c r="D187" s="249" t="s">
        <v>526</v>
      </c>
      <c r="E187" s="258" t="s">
        <v>91</v>
      </c>
      <c r="F187" s="258" t="s">
        <v>806</v>
      </c>
      <c r="J187" s="259">
        <f>BK187</f>
        <v>0</v>
      </c>
      <c r="L187" s="248"/>
      <c r="M187" s="252"/>
      <c r="N187" s="253"/>
      <c r="O187" s="253"/>
      <c r="P187" s="254">
        <f>P188</f>
        <v>19.442028000000001</v>
      </c>
      <c r="Q187" s="253"/>
      <c r="R187" s="254">
        <f>R188</f>
        <v>0</v>
      </c>
      <c r="S187" s="253"/>
      <c r="T187" s="255">
        <f>T188</f>
        <v>0</v>
      </c>
      <c r="AR187" s="249" t="s">
        <v>21</v>
      </c>
      <c r="AT187" s="256" t="s">
        <v>526</v>
      </c>
      <c r="AU187" s="256" t="s">
        <v>21</v>
      </c>
      <c r="AY187" s="249" t="s">
        <v>529</v>
      </c>
      <c r="BK187" s="257">
        <f>BK188</f>
        <v>0</v>
      </c>
    </row>
    <row r="188" spans="1:65" s="203" customFormat="1" ht="24.2" customHeight="1">
      <c r="A188" s="199"/>
      <c r="B188" s="260"/>
      <c r="C188" s="261" t="s">
        <v>807</v>
      </c>
      <c r="D188" s="261" t="s">
        <v>531</v>
      </c>
      <c r="E188" s="262" t="s">
        <v>808</v>
      </c>
      <c r="F188" s="263" t="s">
        <v>809</v>
      </c>
      <c r="G188" s="264" t="s">
        <v>56</v>
      </c>
      <c r="H188" s="265">
        <v>25.547999999999998</v>
      </c>
      <c r="I188" s="266"/>
      <c r="J188" s="266">
        <f>ROUND(I188*H188,2)</f>
        <v>0</v>
      </c>
      <c r="K188" s="267"/>
      <c r="L188" s="204"/>
      <c r="M188" s="314" t="s">
        <v>518</v>
      </c>
      <c r="N188" s="315" t="s">
        <v>534</v>
      </c>
      <c r="O188" s="316">
        <v>0.76100000000000001</v>
      </c>
      <c r="P188" s="316">
        <f>O188*H188</f>
        <v>19.442028000000001</v>
      </c>
      <c r="Q188" s="316">
        <v>0</v>
      </c>
      <c r="R188" s="316">
        <f>Q188*H188</f>
        <v>0</v>
      </c>
      <c r="S188" s="316">
        <v>0</v>
      </c>
      <c r="T188" s="317">
        <f>S188*H188</f>
        <v>0</v>
      </c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/>
      <c r="AR188" s="272" t="s">
        <v>24</v>
      </c>
      <c r="AT188" s="272" t="s">
        <v>531</v>
      </c>
      <c r="AU188" s="272" t="s">
        <v>22</v>
      </c>
      <c r="AY188" s="215" t="s">
        <v>529</v>
      </c>
      <c r="BE188" s="273">
        <f>IF(N188="základní",J188,0)</f>
        <v>0</v>
      </c>
      <c r="BF188" s="273">
        <f>IF(N188="snížená",J188,0)</f>
        <v>0</v>
      </c>
      <c r="BG188" s="273">
        <f>IF(N188="zákl. přenesená",J188,0)</f>
        <v>0</v>
      </c>
      <c r="BH188" s="273">
        <f>IF(N188="sníž. přenesená",J188,0)</f>
        <v>0</v>
      </c>
      <c r="BI188" s="273">
        <f>IF(N188="nulová",J188,0)</f>
        <v>0</v>
      </c>
      <c r="BJ188" s="215" t="s">
        <v>21</v>
      </c>
      <c r="BK188" s="273">
        <f>ROUND(I188*H188,2)</f>
        <v>0</v>
      </c>
      <c r="BL188" s="215" t="s">
        <v>24</v>
      </c>
      <c r="BM188" s="272" t="s">
        <v>810</v>
      </c>
    </row>
    <row r="189" spans="1:65" s="203" customFormat="1" ht="6.95" customHeight="1">
      <c r="A189" s="199"/>
      <c r="B189" s="226"/>
      <c r="C189" s="227"/>
      <c r="D189" s="227"/>
      <c r="E189" s="227"/>
      <c r="F189" s="227"/>
      <c r="G189" s="227"/>
      <c r="H189" s="227"/>
      <c r="I189" s="227"/>
      <c r="J189" s="227"/>
      <c r="K189" s="227"/>
      <c r="L189" s="204"/>
      <c r="M189" s="199"/>
      <c r="O189" s="199"/>
      <c r="P189" s="199"/>
      <c r="Q189" s="199"/>
      <c r="R189" s="199"/>
      <c r="S189" s="199"/>
      <c r="T189" s="199"/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/>
    </row>
    <row r="190" spans="1:65" s="198" customFormat="1"/>
    <row r="191" spans="1:65" s="198" customFormat="1"/>
    <row r="192" spans="1:65" s="203" customFormat="1" ht="6.95" customHeight="1">
      <c r="A192" s="199"/>
      <c r="B192" s="200"/>
      <c r="C192" s="201"/>
      <c r="D192" s="201"/>
      <c r="E192" s="201"/>
      <c r="F192" s="201"/>
      <c r="G192" s="201"/>
      <c r="H192" s="201"/>
      <c r="I192" s="201"/>
      <c r="J192" s="201"/>
      <c r="K192" s="201"/>
      <c r="L192" s="202"/>
      <c r="S192" s="199"/>
      <c r="T192" s="199"/>
      <c r="U192" s="199"/>
      <c r="V192" s="199"/>
      <c r="W192" s="199"/>
      <c r="X192" s="199"/>
      <c r="Y192" s="199"/>
      <c r="Z192" s="199"/>
      <c r="AA192" s="199"/>
      <c r="AB192" s="199"/>
      <c r="AC192" s="199"/>
      <c r="AD192" s="199"/>
      <c r="AE192" s="199"/>
    </row>
    <row r="193" spans="1:47" s="203" customFormat="1" ht="24.95" customHeight="1">
      <c r="A193" s="199"/>
      <c r="B193" s="204"/>
      <c r="C193" s="205" t="s">
        <v>497</v>
      </c>
      <c r="D193" s="199"/>
      <c r="E193" s="199"/>
      <c r="F193" s="199"/>
      <c r="G193" s="199"/>
      <c r="H193" s="199"/>
      <c r="I193" s="199"/>
      <c r="J193" s="199"/>
      <c r="K193" s="199"/>
      <c r="L193" s="202"/>
      <c r="S193" s="199"/>
      <c r="T193" s="199"/>
      <c r="U193" s="199"/>
      <c r="V193" s="199"/>
      <c r="W193" s="199"/>
      <c r="X193" s="199"/>
      <c r="Y193" s="199"/>
      <c r="Z193" s="199"/>
      <c r="AA193" s="199"/>
      <c r="AB193" s="199"/>
      <c r="AC193" s="199"/>
      <c r="AD193" s="199"/>
      <c r="AE193" s="199"/>
    </row>
    <row r="194" spans="1:47" s="203" customFormat="1" ht="6.95" customHeight="1">
      <c r="A194" s="199"/>
      <c r="B194" s="204"/>
      <c r="C194" s="199"/>
      <c r="D194" s="199"/>
      <c r="E194" s="199"/>
      <c r="F194" s="199"/>
      <c r="G194" s="199"/>
      <c r="H194" s="199"/>
      <c r="I194" s="199"/>
      <c r="J194" s="199"/>
      <c r="K194" s="199"/>
      <c r="L194" s="202"/>
      <c r="S194" s="199"/>
      <c r="T194" s="199"/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/>
    </row>
    <row r="195" spans="1:47" s="203" customFormat="1" ht="12" customHeight="1">
      <c r="A195" s="199"/>
      <c r="B195" s="204"/>
      <c r="C195" s="206" t="s">
        <v>212</v>
      </c>
      <c r="D195" s="199"/>
      <c r="E195" s="199"/>
      <c r="F195" s="199"/>
      <c r="G195" s="199"/>
      <c r="H195" s="199"/>
      <c r="I195" s="199"/>
      <c r="J195" s="199"/>
      <c r="K195" s="199"/>
      <c r="L195" s="202"/>
      <c r="S195" s="199"/>
      <c r="T195" s="199"/>
      <c r="U195" s="199"/>
      <c r="V195" s="199"/>
      <c r="W195" s="199"/>
      <c r="X195" s="199"/>
      <c r="Y195" s="199"/>
      <c r="Z195" s="199"/>
      <c r="AA195" s="199"/>
      <c r="AB195" s="199"/>
      <c r="AC195" s="199"/>
      <c r="AD195" s="199"/>
      <c r="AE195" s="199"/>
    </row>
    <row r="196" spans="1:47" s="203" customFormat="1" ht="26.25" customHeight="1">
      <c r="A196" s="199"/>
      <c r="B196" s="204"/>
      <c r="C196" s="199"/>
      <c r="D196" s="199"/>
      <c r="E196" s="404" t="str">
        <f>E118</f>
        <v>59710633</v>
      </c>
      <c r="F196" s="405"/>
      <c r="G196" s="405"/>
      <c r="H196" s="405"/>
      <c r="I196" s="199"/>
      <c r="J196" s="199"/>
      <c r="K196" s="199"/>
      <c r="L196" s="202"/>
      <c r="S196" s="199"/>
      <c r="T196" s="199"/>
      <c r="U196" s="199"/>
      <c r="V196" s="199"/>
      <c r="W196" s="199"/>
      <c r="X196" s="199"/>
      <c r="Y196" s="199"/>
      <c r="Z196" s="199"/>
      <c r="AA196" s="199"/>
      <c r="AB196" s="199"/>
      <c r="AC196" s="199"/>
      <c r="AD196" s="199"/>
      <c r="AE196" s="199"/>
    </row>
    <row r="197" spans="1:47" s="203" customFormat="1" ht="12" customHeight="1">
      <c r="A197" s="199"/>
      <c r="B197" s="204"/>
      <c r="C197" s="206" t="s">
        <v>213</v>
      </c>
      <c r="D197" s="199"/>
      <c r="E197" s="199"/>
      <c r="F197" s="199"/>
      <c r="G197" s="199"/>
      <c r="H197" s="199"/>
      <c r="I197" s="199"/>
      <c r="J197" s="199"/>
      <c r="K197" s="199"/>
      <c r="L197" s="202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/>
    </row>
    <row r="198" spans="1:47" s="203" customFormat="1" ht="16.5" customHeight="1">
      <c r="A198" s="199"/>
      <c r="B198" s="204"/>
      <c r="C198" s="199"/>
      <c r="D198" s="199"/>
      <c r="E198" s="406" t="str">
        <f>E120</f>
        <v>831352193</v>
      </c>
      <c r="F198" s="407"/>
      <c r="G198" s="407"/>
      <c r="H198" s="407"/>
      <c r="I198" s="199"/>
      <c r="J198" s="199"/>
      <c r="K198" s="199"/>
      <c r="L198" s="202"/>
      <c r="S198" s="199"/>
      <c r="T198" s="199"/>
      <c r="U198" s="199"/>
      <c r="V198" s="199"/>
      <c r="W198" s="199"/>
      <c r="X198" s="199"/>
      <c r="Y198" s="199"/>
      <c r="Z198" s="199"/>
      <c r="AA198" s="199"/>
      <c r="AB198" s="199"/>
      <c r="AC198" s="199"/>
      <c r="AD198" s="199"/>
      <c r="AE198" s="199"/>
    </row>
    <row r="199" spans="1:47" s="203" customFormat="1" ht="6.95" customHeight="1">
      <c r="A199" s="199"/>
      <c r="B199" s="204"/>
      <c r="C199" s="199"/>
      <c r="D199" s="199"/>
      <c r="E199" s="199"/>
      <c r="F199" s="199"/>
      <c r="G199" s="199"/>
      <c r="H199" s="199"/>
      <c r="I199" s="199"/>
      <c r="J199" s="199"/>
      <c r="K199" s="199"/>
      <c r="L199" s="202"/>
      <c r="S199" s="199"/>
      <c r="T199" s="199"/>
      <c r="U199" s="199"/>
      <c r="V199" s="199"/>
      <c r="W199" s="199"/>
      <c r="X199" s="199"/>
      <c r="Y199" s="199"/>
      <c r="Z199" s="199"/>
      <c r="AA199" s="199"/>
      <c r="AB199" s="199"/>
      <c r="AC199" s="199"/>
      <c r="AD199" s="199"/>
      <c r="AE199" s="199"/>
    </row>
    <row r="200" spans="1:47" s="203" customFormat="1" ht="12" customHeight="1">
      <c r="A200" s="199"/>
      <c r="B200" s="204"/>
      <c r="C200" s="206" t="s">
        <v>214</v>
      </c>
      <c r="D200" s="199"/>
      <c r="E200" s="199"/>
      <c r="F200" s="207" t="str">
        <f>F123</f>
        <v>Montáž kameninových tvarovek odbočných s integrovaným těsněním otevřený výkop DN 150</v>
      </c>
      <c r="G200" s="199"/>
      <c r="H200" s="199"/>
      <c r="I200" s="206" t="s">
        <v>215</v>
      </c>
      <c r="J200" s="208">
        <f>IF(J123="","",J123)</f>
        <v>0</v>
      </c>
      <c r="K200" s="199"/>
      <c r="L200" s="202"/>
      <c r="S200" s="199"/>
      <c r="T200" s="199"/>
      <c r="U200" s="199"/>
      <c r="V200" s="199"/>
      <c r="W200" s="199"/>
      <c r="X200" s="199"/>
      <c r="Y200" s="199"/>
      <c r="Z200" s="199"/>
      <c r="AA200" s="199"/>
      <c r="AB200" s="199"/>
      <c r="AC200" s="199"/>
      <c r="AD200" s="199"/>
      <c r="AE200" s="199"/>
    </row>
    <row r="201" spans="1:47" s="203" customFormat="1" ht="6.95" customHeight="1">
      <c r="A201" s="199"/>
      <c r="B201" s="204"/>
      <c r="C201" s="199"/>
      <c r="D201" s="199"/>
      <c r="E201" s="199"/>
      <c r="F201" s="199"/>
      <c r="G201" s="199"/>
      <c r="H201" s="199"/>
      <c r="I201" s="199"/>
      <c r="J201" s="199"/>
      <c r="K201" s="199"/>
      <c r="L201" s="202"/>
      <c r="S201" s="199"/>
      <c r="T201" s="199"/>
      <c r="U201" s="199"/>
      <c r="V201" s="199"/>
      <c r="W201" s="199"/>
      <c r="X201" s="199"/>
      <c r="Y201" s="199"/>
      <c r="Z201" s="199"/>
      <c r="AA201" s="199"/>
      <c r="AB201" s="199"/>
      <c r="AC201" s="199"/>
      <c r="AD201" s="199"/>
      <c r="AE201" s="199"/>
    </row>
    <row r="202" spans="1:47" s="203" customFormat="1" ht="15.2" customHeight="1">
      <c r="A202" s="199"/>
      <c r="B202" s="204"/>
      <c r="C202" s="206" t="s">
        <v>500</v>
      </c>
      <c r="D202" s="199"/>
      <c r="E202" s="199"/>
      <c r="F202" s="207">
        <f>E126</f>
        <v>0</v>
      </c>
      <c r="G202" s="199"/>
      <c r="H202" s="199"/>
      <c r="I202" s="206" t="s">
        <v>217</v>
      </c>
      <c r="J202" s="209" t="str">
        <f>E132</f>
        <v/>
      </c>
      <c r="K202" s="199"/>
      <c r="L202" s="202"/>
      <c r="S202" s="199"/>
      <c r="T202" s="199"/>
      <c r="U202" s="199"/>
      <c r="V202" s="199"/>
      <c r="W202" s="199"/>
      <c r="X202" s="199"/>
      <c r="Y202" s="199"/>
      <c r="Z202" s="199"/>
      <c r="AA202" s="199"/>
      <c r="AB202" s="199"/>
      <c r="AC202" s="199"/>
      <c r="AD202" s="199"/>
      <c r="AE202" s="199"/>
    </row>
    <row r="203" spans="1:47" s="203" customFormat="1" ht="15.2" customHeight="1">
      <c r="A203" s="199"/>
      <c r="B203" s="204"/>
      <c r="C203" s="206" t="s">
        <v>218</v>
      </c>
      <c r="D203" s="199"/>
      <c r="E203" s="199"/>
      <c r="F203" s="207" t="str">
        <f>IF(E129="","",E129)</f>
        <v>59712513</v>
      </c>
      <c r="G203" s="199"/>
      <c r="H203" s="199"/>
      <c r="I203" s="206" t="s">
        <v>219</v>
      </c>
      <c r="J203" s="209" t="str">
        <f>E135</f>
        <v>837352221</v>
      </c>
      <c r="K203" s="199"/>
      <c r="L203" s="202"/>
      <c r="S203" s="199"/>
      <c r="T203" s="199"/>
      <c r="U203" s="199"/>
      <c r="V203" s="199"/>
      <c r="W203" s="199"/>
      <c r="X203" s="199"/>
      <c r="Y203" s="199"/>
      <c r="Z203" s="199"/>
      <c r="AA203" s="199"/>
      <c r="AB203" s="199"/>
      <c r="AC203" s="199"/>
      <c r="AD203" s="199"/>
      <c r="AE203" s="199"/>
    </row>
    <row r="204" spans="1:47" s="203" customFormat="1" ht="10.35" customHeight="1">
      <c r="A204" s="199"/>
      <c r="B204" s="204"/>
      <c r="C204" s="199"/>
      <c r="D204" s="199"/>
      <c r="E204" s="199"/>
      <c r="F204" s="199"/>
      <c r="G204" s="199"/>
      <c r="H204" s="199"/>
      <c r="I204" s="199"/>
      <c r="J204" s="199"/>
      <c r="K204" s="199"/>
      <c r="L204" s="202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</row>
    <row r="205" spans="1:47" s="203" customFormat="1" ht="29.25" customHeight="1">
      <c r="A205" s="199"/>
      <c r="B205" s="204"/>
      <c r="C205" s="210" t="s">
        <v>501</v>
      </c>
      <c r="D205" s="211"/>
      <c r="E205" s="211"/>
      <c r="F205" s="211"/>
      <c r="G205" s="211"/>
      <c r="H205" s="211"/>
      <c r="I205" s="211"/>
      <c r="J205" s="212" t="s">
        <v>502</v>
      </c>
      <c r="K205" s="211"/>
      <c r="L205" s="202"/>
      <c r="S205" s="199"/>
      <c r="T205" s="199"/>
      <c r="U205" s="199"/>
      <c r="V205" s="199"/>
      <c r="W205" s="199"/>
      <c r="X205" s="199"/>
      <c r="Y205" s="199"/>
      <c r="Z205" s="199"/>
      <c r="AA205" s="199"/>
      <c r="AB205" s="199"/>
      <c r="AC205" s="199"/>
      <c r="AD205" s="199"/>
      <c r="AE205" s="199"/>
    </row>
    <row r="206" spans="1:47" s="203" customFormat="1" ht="10.35" customHeight="1">
      <c r="A206" s="199"/>
      <c r="B206" s="204"/>
      <c r="C206" s="199"/>
      <c r="D206" s="199"/>
      <c r="E206" s="199"/>
      <c r="F206" s="199"/>
      <c r="G206" s="199"/>
      <c r="H206" s="199"/>
      <c r="I206" s="199"/>
      <c r="J206" s="199"/>
      <c r="K206" s="199"/>
      <c r="L206" s="202"/>
      <c r="S206" s="199"/>
      <c r="T206" s="199"/>
      <c r="U206" s="199"/>
      <c r="V206" s="199"/>
      <c r="W206" s="199"/>
      <c r="X206" s="199"/>
      <c r="Y206" s="199"/>
      <c r="Z206" s="199"/>
      <c r="AA206" s="199"/>
      <c r="AB206" s="199"/>
      <c r="AC206" s="199"/>
      <c r="AD206" s="199"/>
      <c r="AE206" s="199"/>
    </row>
    <row r="207" spans="1:47" s="203" customFormat="1" ht="22.9" customHeight="1">
      <c r="A207" s="199"/>
      <c r="B207" s="204"/>
      <c r="C207" s="213" t="s">
        <v>503</v>
      </c>
      <c r="D207" s="199"/>
      <c r="E207" s="199"/>
      <c r="F207" s="199"/>
      <c r="G207" s="199"/>
      <c r="H207" s="199"/>
      <c r="I207" s="199"/>
      <c r="J207" s="214">
        <f>J208</f>
        <v>0</v>
      </c>
      <c r="K207" s="199"/>
      <c r="L207" s="202"/>
      <c r="S207" s="199"/>
      <c r="T207" s="199"/>
      <c r="U207" s="199"/>
      <c r="V207" s="199"/>
      <c r="W207" s="199"/>
      <c r="X207" s="199"/>
      <c r="Y207" s="199"/>
      <c r="Z207" s="199"/>
      <c r="AA207" s="199"/>
      <c r="AB207" s="199"/>
      <c r="AC207" s="199"/>
      <c r="AD207" s="199"/>
      <c r="AE207" s="199"/>
      <c r="AU207" s="215" t="s">
        <v>504</v>
      </c>
    </row>
    <row r="208" spans="1:47" s="216" customFormat="1" ht="24.95" customHeight="1">
      <c r="B208" s="217"/>
      <c r="D208" s="218" t="s">
        <v>811</v>
      </c>
      <c r="E208" s="219"/>
      <c r="F208" s="219"/>
      <c r="G208" s="219"/>
      <c r="H208" s="219"/>
      <c r="I208" s="219"/>
      <c r="J208" s="220">
        <f>SUM(J209:J211)</f>
        <v>0</v>
      </c>
      <c r="L208" s="217"/>
    </row>
    <row r="209" spans="1:31" s="221" customFormat="1" ht="19.899999999999999" customHeight="1">
      <c r="B209" s="222"/>
      <c r="D209" s="223" t="s">
        <v>812</v>
      </c>
      <c r="E209" s="224"/>
      <c r="F209" s="224"/>
      <c r="G209" s="224"/>
      <c r="H209" s="224"/>
      <c r="I209" s="224"/>
      <c r="J209" s="225">
        <f>J233</f>
        <v>0</v>
      </c>
      <c r="L209" s="222"/>
    </row>
    <row r="210" spans="1:31" s="221" customFormat="1" ht="19.899999999999999" customHeight="1">
      <c r="B210" s="222"/>
      <c r="D210" s="223" t="s">
        <v>813</v>
      </c>
      <c r="E210" s="224"/>
      <c r="F210" s="224"/>
      <c r="G210" s="224"/>
      <c r="H210" s="224"/>
      <c r="I210" s="224"/>
      <c r="J210" s="225">
        <f>J238</f>
        <v>0</v>
      </c>
      <c r="L210" s="222"/>
    </row>
    <row r="211" spans="1:31" s="221" customFormat="1" ht="19.899999999999999" customHeight="1">
      <c r="B211" s="222"/>
      <c r="D211" s="223" t="s">
        <v>814</v>
      </c>
      <c r="E211" s="224"/>
      <c r="F211" s="224"/>
      <c r="G211" s="224"/>
      <c r="H211" s="224"/>
      <c r="I211" s="224"/>
      <c r="J211" s="225">
        <f>J241</f>
        <v>0</v>
      </c>
      <c r="L211" s="222"/>
    </row>
    <row r="212" spans="1:31" s="203" customFormat="1" ht="21.75" customHeight="1">
      <c r="A212" s="199"/>
      <c r="B212" s="204"/>
      <c r="C212" s="199"/>
      <c r="D212" s="199"/>
      <c r="E212" s="199"/>
      <c r="F212" s="199"/>
      <c r="G212" s="199"/>
      <c r="H212" s="199"/>
      <c r="I212" s="199"/>
      <c r="J212" s="199"/>
      <c r="K212" s="199"/>
      <c r="L212" s="202"/>
      <c r="S212" s="199"/>
      <c r="T212" s="199"/>
      <c r="U212" s="199"/>
      <c r="V212" s="199"/>
      <c r="W212" s="199"/>
      <c r="X212" s="199"/>
      <c r="Y212" s="199"/>
      <c r="Z212" s="199"/>
      <c r="AA212" s="199"/>
      <c r="AB212" s="199"/>
      <c r="AC212" s="199"/>
      <c r="AD212" s="199"/>
      <c r="AE212" s="199"/>
    </row>
    <row r="213" spans="1:31" s="203" customFormat="1" ht="6.95" customHeight="1">
      <c r="A213" s="199"/>
      <c r="B213" s="226"/>
      <c r="C213" s="227"/>
      <c r="D213" s="227"/>
      <c r="E213" s="227"/>
      <c r="F213" s="227"/>
      <c r="G213" s="227"/>
      <c r="H213" s="227"/>
      <c r="I213" s="227"/>
      <c r="J213" s="227"/>
      <c r="K213" s="227"/>
      <c r="L213" s="202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</row>
    <row r="214" spans="1:31" s="198" customFormat="1"/>
    <row r="215" spans="1:31" s="198" customFormat="1"/>
    <row r="216" spans="1:31" s="198" customFormat="1"/>
    <row r="217" spans="1:31" s="203" customFormat="1" ht="6.95" customHeight="1">
      <c r="A217" s="199"/>
      <c r="B217" s="200"/>
      <c r="C217" s="201"/>
      <c r="D217" s="201"/>
      <c r="E217" s="201"/>
      <c r="F217" s="201"/>
      <c r="G217" s="201"/>
      <c r="H217" s="201"/>
      <c r="I217" s="201"/>
      <c r="J217" s="201"/>
      <c r="K217" s="201"/>
      <c r="L217" s="202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</row>
    <row r="218" spans="1:31" s="203" customFormat="1" ht="24.95" customHeight="1">
      <c r="A218" s="199"/>
      <c r="B218" s="204"/>
      <c r="C218" s="205" t="s">
        <v>512</v>
      </c>
      <c r="D218" s="199"/>
      <c r="E218" s="199"/>
      <c r="F218" s="199"/>
      <c r="G218" s="199"/>
      <c r="H218" s="199"/>
      <c r="I218" s="199"/>
      <c r="J218" s="199"/>
      <c r="K218" s="199"/>
      <c r="L218" s="202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</row>
    <row r="219" spans="1:31" s="203" customFormat="1" ht="6.95" customHeight="1">
      <c r="A219" s="199"/>
      <c r="B219" s="204"/>
      <c r="C219" s="199"/>
      <c r="D219" s="199"/>
      <c r="E219" s="199"/>
      <c r="F219" s="199"/>
      <c r="G219" s="199"/>
      <c r="H219" s="199"/>
      <c r="I219" s="199"/>
      <c r="J219" s="199"/>
      <c r="K219" s="199"/>
      <c r="L219" s="202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</row>
    <row r="220" spans="1:31" s="203" customFormat="1" ht="12" customHeight="1">
      <c r="A220" s="199"/>
      <c r="B220" s="204"/>
      <c r="C220" s="206" t="s">
        <v>212</v>
      </c>
      <c r="D220" s="199"/>
      <c r="E220" s="199"/>
      <c r="F220" s="199"/>
      <c r="G220" s="199"/>
      <c r="H220" s="199"/>
      <c r="I220" s="199"/>
      <c r="J220" s="199"/>
      <c r="K220" s="199"/>
      <c r="L220" s="202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</row>
    <row r="221" spans="1:31" s="203" customFormat="1" ht="26.25" customHeight="1">
      <c r="A221" s="199"/>
      <c r="B221" s="204"/>
      <c r="C221" s="199"/>
      <c r="D221" s="199"/>
      <c r="E221" s="404" t="str">
        <f>E118</f>
        <v>59710633</v>
      </c>
      <c r="F221" s="405"/>
      <c r="G221" s="405"/>
      <c r="H221" s="405"/>
      <c r="I221" s="199"/>
      <c r="J221" s="199"/>
      <c r="K221" s="199"/>
      <c r="L221" s="202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</row>
    <row r="222" spans="1:31" s="203" customFormat="1" ht="12" customHeight="1">
      <c r="A222" s="199"/>
      <c r="B222" s="204"/>
      <c r="C222" s="206" t="s">
        <v>213</v>
      </c>
      <c r="D222" s="199"/>
      <c r="E222" s="199"/>
      <c r="F222" s="199"/>
      <c r="G222" s="199"/>
      <c r="H222" s="199"/>
      <c r="I222" s="199"/>
      <c r="J222" s="199"/>
      <c r="K222" s="199"/>
      <c r="L222" s="202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</row>
    <row r="223" spans="1:31" s="203" customFormat="1" ht="16.5" customHeight="1">
      <c r="A223" s="199"/>
      <c r="B223" s="204"/>
      <c r="C223" s="199"/>
      <c r="D223" s="199"/>
      <c r="E223" s="406" t="str">
        <f>E120</f>
        <v>831352193</v>
      </c>
      <c r="F223" s="407"/>
      <c r="G223" s="407"/>
      <c r="H223" s="407"/>
      <c r="I223" s="199"/>
      <c r="J223" s="199"/>
      <c r="K223" s="199"/>
      <c r="L223" s="202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</row>
    <row r="224" spans="1:31" s="203" customFormat="1" ht="6.95" customHeight="1">
      <c r="A224" s="199"/>
      <c r="B224" s="204"/>
      <c r="C224" s="199"/>
      <c r="D224" s="199"/>
      <c r="E224" s="199"/>
      <c r="F224" s="199"/>
      <c r="G224" s="199"/>
      <c r="H224" s="199"/>
      <c r="I224" s="199"/>
      <c r="J224" s="199"/>
      <c r="K224" s="199"/>
      <c r="L224" s="202"/>
      <c r="S224" s="199"/>
      <c r="T224" s="199"/>
      <c r="U224" s="199"/>
      <c r="V224" s="199"/>
      <c r="W224" s="199"/>
      <c r="X224" s="199"/>
      <c r="Y224" s="199"/>
      <c r="Z224" s="199"/>
      <c r="AA224" s="199"/>
      <c r="AB224" s="199"/>
      <c r="AC224" s="199"/>
      <c r="AD224" s="199"/>
      <c r="AE224" s="199"/>
    </row>
    <row r="225" spans="1:65" s="203" customFormat="1" ht="12" customHeight="1">
      <c r="A225" s="199"/>
      <c r="B225" s="204"/>
      <c r="C225" s="206" t="s">
        <v>214</v>
      </c>
      <c r="D225" s="199"/>
      <c r="E225" s="199"/>
      <c r="F225" s="207" t="str">
        <f>F123</f>
        <v>Montáž kameninových tvarovek odbočných s integrovaným těsněním otevřený výkop DN 150</v>
      </c>
      <c r="G225" s="199"/>
      <c r="H225" s="199"/>
      <c r="I225" s="206" t="s">
        <v>215</v>
      </c>
      <c r="J225" s="208">
        <f>IF(J123="","",J123)</f>
        <v>0</v>
      </c>
      <c r="K225" s="199"/>
      <c r="L225" s="202"/>
      <c r="S225" s="199"/>
      <c r="T225" s="199"/>
      <c r="U225" s="199"/>
      <c r="V225" s="199"/>
      <c r="W225" s="199"/>
      <c r="X225" s="199"/>
      <c r="Y225" s="199"/>
      <c r="Z225" s="199"/>
      <c r="AA225" s="199"/>
      <c r="AB225" s="199"/>
      <c r="AC225" s="199"/>
      <c r="AD225" s="199"/>
      <c r="AE225" s="199"/>
    </row>
    <row r="226" spans="1:65" s="203" customFormat="1" ht="6.95" customHeight="1">
      <c r="A226" s="199"/>
      <c r="B226" s="204"/>
      <c r="C226" s="199"/>
      <c r="D226" s="199"/>
      <c r="E226" s="199"/>
      <c r="F226" s="199"/>
      <c r="G226" s="199"/>
      <c r="H226" s="199"/>
      <c r="I226" s="199"/>
      <c r="J226" s="199"/>
      <c r="K226" s="199"/>
      <c r="L226" s="202"/>
      <c r="S226" s="199"/>
      <c r="T226" s="199"/>
      <c r="U226" s="199"/>
      <c r="V226" s="199"/>
      <c r="W226" s="199"/>
      <c r="X226" s="199"/>
      <c r="Y226" s="199"/>
      <c r="Z226" s="199"/>
      <c r="AA226" s="199"/>
      <c r="AB226" s="199"/>
      <c r="AC226" s="199"/>
      <c r="AD226" s="199"/>
      <c r="AE226" s="199"/>
    </row>
    <row r="227" spans="1:65" s="203" customFormat="1" ht="15.2" customHeight="1">
      <c r="A227" s="199"/>
      <c r="B227" s="204"/>
      <c r="C227" s="206" t="s">
        <v>500</v>
      </c>
      <c r="D227" s="199"/>
      <c r="E227" s="199"/>
      <c r="F227" s="207">
        <f>E126</f>
        <v>0</v>
      </c>
      <c r="G227" s="199"/>
      <c r="H227" s="199"/>
      <c r="I227" s="206" t="s">
        <v>217</v>
      </c>
      <c r="J227" s="209" t="str">
        <f>E132</f>
        <v/>
      </c>
      <c r="K227" s="199"/>
      <c r="L227" s="202"/>
      <c r="S227" s="199"/>
      <c r="T227" s="199"/>
      <c r="U227" s="199"/>
      <c r="V227" s="199"/>
      <c r="W227" s="199"/>
      <c r="X227" s="199"/>
      <c r="Y227" s="199"/>
      <c r="Z227" s="199"/>
      <c r="AA227" s="199"/>
      <c r="AB227" s="199"/>
      <c r="AC227" s="199"/>
      <c r="AD227" s="199"/>
      <c r="AE227" s="199"/>
    </row>
    <row r="228" spans="1:65" s="203" customFormat="1" ht="15.2" customHeight="1">
      <c r="A228" s="199"/>
      <c r="B228" s="204"/>
      <c r="C228" s="206" t="s">
        <v>218</v>
      </c>
      <c r="D228" s="199"/>
      <c r="E228" s="199"/>
      <c r="F228" s="207" t="str">
        <f>IF(E129="","",E129)</f>
        <v>59712513</v>
      </c>
      <c r="G228" s="199"/>
      <c r="H228" s="199"/>
      <c r="I228" s="206" t="s">
        <v>219</v>
      </c>
      <c r="J228" s="209" t="str">
        <f>E135</f>
        <v>837352221</v>
      </c>
      <c r="K228" s="199"/>
      <c r="L228" s="202"/>
      <c r="S228" s="199"/>
      <c r="T228" s="199"/>
      <c r="U228" s="199"/>
      <c r="V228" s="199"/>
      <c r="W228" s="199"/>
      <c r="X228" s="199"/>
      <c r="Y228" s="199"/>
      <c r="Z228" s="199"/>
      <c r="AA228" s="199"/>
      <c r="AB228" s="199"/>
      <c r="AC228" s="199"/>
      <c r="AD228" s="199"/>
      <c r="AE228" s="199"/>
    </row>
    <row r="229" spans="1:65" s="203" customFormat="1" ht="10.35" customHeight="1">
      <c r="A229" s="199"/>
      <c r="B229" s="204"/>
      <c r="C229" s="199"/>
      <c r="D229" s="199"/>
      <c r="E229" s="199"/>
      <c r="F229" s="199"/>
      <c r="G229" s="199"/>
      <c r="H229" s="199"/>
      <c r="I229" s="199"/>
      <c r="J229" s="199"/>
      <c r="K229" s="199"/>
      <c r="L229" s="202"/>
      <c r="S229" s="199"/>
      <c r="T229" s="199"/>
      <c r="U229" s="199"/>
      <c r="V229" s="199"/>
      <c r="W229" s="199"/>
      <c r="X229" s="199"/>
      <c r="Y229" s="199"/>
      <c r="Z229" s="199"/>
      <c r="AA229" s="199"/>
      <c r="AB229" s="199"/>
      <c r="AC229" s="199"/>
      <c r="AD229" s="199"/>
      <c r="AE229" s="199"/>
    </row>
    <row r="230" spans="1:65" s="238" customFormat="1" ht="29.25" customHeight="1">
      <c r="A230" s="228"/>
      <c r="B230" s="229"/>
      <c r="C230" s="230" t="s">
        <v>513</v>
      </c>
      <c r="D230" s="231" t="s">
        <v>514</v>
      </c>
      <c r="E230" s="231" t="s">
        <v>515</v>
      </c>
      <c r="F230" s="231" t="s">
        <v>9</v>
      </c>
      <c r="G230" s="231" t="s">
        <v>10</v>
      </c>
      <c r="H230" s="231" t="s">
        <v>267</v>
      </c>
      <c r="I230" s="231" t="s">
        <v>516</v>
      </c>
      <c r="J230" s="232" t="s">
        <v>502</v>
      </c>
      <c r="K230" s="233" t="s">
        <v>517</v>
      </c>
      <c r="L230" s="234"/>
      <c r="M230" s="235" t="s">
        <v>518</v>
      </c>
      <c r="N230" s="236" t="s">
        <v>221</v>
      </c>
      <c r="O230" s="236" t="s">
        <v>519</v>
      </c>
      <c r="P230" s="236" t="s">
        <v>520</v>
      </c>
      <c r="Q230" s="236" t="s">
        <v>521</v>
      </c>
      <c r="R230" s="236" t="s">
        <v>522</v>
      </c>
      <c r="S230" s="236" t="s">
        <v>523</v>
      </c>
      <c r="T230" s="237" t="s">
        <v>524</v>
      </c>
      <c r="U230" s="228"/>
      <c r="V230" s="228"/>
      <c r="W230" s="228"/>
      <c r="X230" s="228"/>
      <c r="Y230" s="228"/>
      <c r="Z230" s="228"/>
      <c r="AA230" s="228"/>
      <c r="AB230" s="228"/>
      <c r="AC230" s="228"/>
      <c r="AD230" s="228"/>
      <c r="AE230" s="228"/>
    </row>
    <row r="231" spans="1:65" s="203" customFormat="1" ht="22.9" customHeight="1">
      <c r="A231" s="199"/>
      <c r="B231" s="204"/>
      <c r="C231" s="239" t="s">
        <v>525</v>
      </c>
      <c r="D231" s="199"/>
      <c r="E231" s="199"/>
      <c r="F231" s="199"/>
      <c r="G231" s="199"/>
      <c r="H231" s="199"/>
      <c r="I231" s="199"/>
      <c r="J231" s="240">
        <f>BK231</f>
        <v>0</v>
      </c>
      <c r="K231" s="199"/>
      <c r="L231" s="204"/>
      <c r="M231" s="241"/>
      <c r="N231" s="242"/>
      <c r="O231" s="243"/>
      <c r="P231" s="244">
        <f>P232</f>
        <v>0</v>
      </c>
      <c r="Q231" s="243"/>
      <c r="R231" s="244">
        <f>R232</f>
        <v>0</v>
      </c>
      <c r="S231" s="243"/>
      <c r="T231" s="245">
        <f>T232</f>
        <v>0</v>
      </c>
      <c r="U231" s="199"/>
      <c r="V231" s="199"/>
      <c r="W231" s="199"/>
      <c r="X231" s="199"/>
      <c r="Y231" s="199"/>
      <c r="Z231" s="199"/>
      <c r="AA231" s="199"/>
      <c r="AB231" s="199"/>
      <c r="AC231" s="199"/>
      <c r="AD231" s="199"/>
      <c r="AE231" s="199"/>
      <c r="AT231" s="215" t="s">
        <v>526</v>
      </c>
      <c r="AU231" s="215" t="s">
        <v>504</v>
      </c>
      <c r="BK231" s="246">
        <f>BK232</f>
        <v>0</v>
      </c>
    </row>
    <row r="232" spans="1:65" s="247" customFormat="1" ht="25.9" customHeight="1">
      <c r="B232" s="248"/>
      <c r="D232" s="249" t="s">
        <v>526</v>
      </c>
      <c r="E232" s="250" t="s">
        <v>412</v>
      </c>
      <c r="F232" s="250" t="s">
        <v>411</v>
      </c>
      <c r="J232" s="251">
        <f>BK232</f>
        <v>0</v>
      </c>
      <c r="L232" s="248"/>
      <c r="M232" s="252"/>
      <c r="N232" s="253"/>
      <c r="O232" s="253"/>
      <c r="P232" s="254">
        <f>P233+P238+P241</f>
        <v>0</v>
      </c>
      <c r="Q232" s="253"/>
      <c r="R232" s="254">
        <f>R233+R238+R241</f>
        <v>0</v>
      </c>
      <c r="S232" s="253"/>
      <c r="T232" s="255">
        <f>T233+T238+T241</f>
        <v>0</v>
      </c>
      <c r="AR232" s="249" t="s">
        <v>25</v>
      </c>
      <c r="AT232" s="256" t="s">
        <v>526</v>
      </c>
      <c r="AU232" s="256" t="s">
        <v>528</v>
      </c>
      <c r="AY232" s="249" t="s">
        <v>529</v>
      </c>
      <c r="BK232" s="257">
        <f>BK233+BK238+BK241</f>
        <v>0</v>
      </c>
    </row>
    <row r="233" spans="1:65" s="247" customFormat="1" ht="22.9" customHeight="1">
      <c r="B233" s="248"/>
      <c r="D233" s="249" t="s">
        <v>526</v>
      </c>
      <c r="E233" s="258" t="s">
        <v>815</v>
      </c>
      <c r="F233" s="258" t="s">
        <v>816</v>
      </c>
      <c r="J233" s="259">
        <f>BK233</f>
        <v>0</v>
      </c>
      <c r="L233" s="248"/>
      <c r="M233" s="252"/>
      <c r="N233" s="253"/>
      <c r="O233" s="253"/>
      <c r="P233" s="254">
        <f>SUM(P234:P237)</f>
        <v>0</v>
      </c>
      <c r="Q233" s="253"/>
      <c r="R233" s="254">
        <f>SUM(R234:R237)</f>
        <v>0</v>
      </c>
      <c r="S233" s="253"/>
      <c r="T233" s="255">
        <f>SUM(T234:T237)</f>
        <v>0</v>
      </c>
      <c r="AR233" s="249" t="s">
        <v>25</v>
      </c>
      <c r="AT233" s="256" t="s">
        <v>526</v>
      </c>
      <c r="AU233" s="256" t="s">
        <v>21</v>
      </c>
      <c r="AY233" s="249" t="s">
        <v>529</v>
      </c>
      <c r="BK233" s="257">
        <f>SUM(BK234:BK237)</f>
        <v>0</v>
      </c>
    </row>
    <row r="234" spans="1:65" s="203" customFormat="1" ht="14.45" customHeight="1">
      <c r="A234" s="199"/>
      <c r="B234" s="260"/>
      <c r="C234" s="261" t="s">
        <v>21</v>
      </c>
      <c r="D234" s="261" t="s">
        <v>531</v>
      </c>
      <c r="E234" s="262" t="s">
        <v>817</v>
      </c>
      <c r="F234" s="263" t="s">
        <v>818</v>
      </c>
      <c r="G234" s="264" t="s">
        <v>311</v>
      </c>
      <c r="H234" s="265">
        <v>1</v>
      </c>
      <c r="I234" s="266"/>
      <c r="J234" s="266">
        <f>ROUND(I234*H234,2)</f>
        <v>0</v>
      </c>
      <c r="K234" s="267"/>
      <c r="L234" s="204"/>
      <c r="M234" s="268" t="s">
        <v>518</v>
      </c>
      <c r="N234" s="269" t="s">
        <v>534</v>
      </c>
      <c r="O234" s="270">
        <v>0</v>
      </c>
      <c r="P234" s="270">
        <f>O234*H234</f>
        <v>0</v>
      </c>
      <c r="Q234" s="270">
        <v>0</v>
      </c>
      <c r="R234" s="270">
        <f>Q234*H234</f>
        <v>0</v>
      </c>
      <c r="S234" s="270">
        <v>0</v>
      </c>
      <c r="T234" s="271">
        <f>S234*H234</f>
        <v>0</v>
      </c>
      <c r="U234" s="199"/>
      <c r="V234" s="199"/>
      <c r="W234" s="199"/>
      <c r="X234" s="199"/>
      <c r="Y234" s="199"/>
      <c r="Z234" s="199"/>
      <c r="AA234" s="199"/>
      <c r="AB234" s="199"/>
      <c r="AC234" s="199"/>
      <c r="AD234" s="199"/>
      <c r="AE234" s="199"/>
      <c r="AR234" s="272" t="s">
        <v>819</v>
      </c>
      <c r="AT234" s="272" t="s">
        <v>531</v>
      </c>
      <c r="AU234" s="272" t="s">
        <v>22</v>
      </c>
      <c r="AY234" s="215" t="s">
        <v>529</v>
      </c>
      <c r="BE234" s="273">
        <f>IF(N234="základní",J234,0)</f>
        <v>0</v>
      </c>
      <c r="BF234" s="273">
        <f>IF(N234="snížená",J234,0)</f>
        <v>0</v>
      </c>
      <c r="BG234" s="273">
        <f>IF(N234="zákl. přenesená",J234,0)</f>
        <v>0</v>
      </c>
      <c r="BH234" s="273">
        <f>IF(N234="sníž. přenesená",J234,0)</f>
        <v>0</v>
      </c>
      <c r="BI234" s="273">
        <f>IF(N234="nulová",J234,0)</f>
        <v>0</v>
      </c>
      <c r="BJ234" s="215" t="s">
        <v>21</v>
      </c>
      <c r="BK234" s="273">
        <f>ROUND(I234*H234,2)</f>
        <v>0</v>
      </c>
      <c r="BL234" s="215" t="s">
        <v>819</v>
      </c>
      <c r="BM234" s="272" t="s">
        <v>820</v>
      </c>
    </row>
    <row r="235" spans="1:65" s="203" customFormat="1" ht="19.5">
      <c r="A235" s="199"/>
      <c r="B235" s="204"/>
      <c r="C235" s="199"/>
      <c r="D235" s="276" t="s">
        <v>613</v>
      </c>
      <c r="E235" s="199"/>
      <c r="F235" s="299" t="s">
        <v>821</v>
      </c>
      <c r="G235" s="199"/>
      <c r="H235" s="199"/>
      <c r="I235" s="199"/>
      <c r="J235" s="199"/>
      <c r="K235" s="199"/>
      <c r="L235" s="204"/>
      <c r="M235" s="300"/>
      <c r="N235" s="301"/>
      <c r="O235" s="302"/>
      <c r="P235" s="302"/>
      <c r="Q235" s="302"/>
      <c r="R235" s="302"/>
      <c r="S235" s="302"/>
      <c r="T235" s="303"/>
      <c r="U235" s="199"/>
      <c r="V235" s="199"/>
      <c r="W235" s="199"/>
      <c r="X235" s="199"/>
      <c r="Y235" s="199"/>
      <c r="Z235" s="199"/>
      <c r="AA235" s="199"/>
      <c r="AB235" s="199"/>
      <c r="AC235" s="199"/>
      <c r="AD235" s="199"/>
      <c r="AE235" s="199"/>
      <c r="AT235" s="215" t="s">
        <v>613</v>
      </c>
      <c r="AU235" s="215" t="s">
        <v>22</v>
      </c>
    </row>
    <row r="236" spans="1:65" s="203" customFormat="1" ht="14.45" customHeight="1">
      <c r="A236" s="199"/>
      <c r="B236" s="260"/>
      <c r="C236" s="261" t="s">
        <v>22</v>
      </c>
      <c r="D236" s="261" t="s">
        <v>531</v>
      </c>
      <c r="E236" s="262" t="s">
        <v>822</v>
      </c>
      <c r="F236" s="263" t="s">
        <v>823</v>
      </c>
      <c r="G236" s="264" t="s">
        <v>311</v>
      </c>
      <c r="H236" s="265">
        <v>1</v>
      </c>
      <c r="I236" s="266"/>
      <c r="J236" s="266">
        <f>ROUND(I236*H236,2)</f>
        <v>0</v>
      </c>
      <c r="K236" s="267"/>
      <c r="L236" s="204"/>
      <c r="M236" s="268" t="s">
        <v>518</v>
      </c>
      <c r="N236" s="269" t="s">
        <v>534</v>
      </c>
      <c r="O236" s="270">
        <v>0</v>
      </c>
      <c r="P236" s="270">
        <f>O236*H236</f>
        <v>0</v>
      </c>
      <c r="Q236" s="270">
        <v>0</v>
      </c>
      <c r="R236" s="270">
        <f>Q236*H236</f>
        <v>0</v>
      </c>
      <c r="S236" s="270">
        <v>0</v>
      </c>
      <c r="T236" s="271">
        <f>S236*H236</f>
        <v>0</v>
      </c>
      <c r="U236" s="199"/>
      <c r="V236" s="199"/>
      <c r="W236" s="199"/>
      <c r="X236" s="199"/>
      <c r="Y236" s="199"/>
      <c r="Z236" s="199"/>
      <c r="AA236" s="199"/>
      <c r="AB236" s="199"/>
      <c r="AC236" s="199"/>
      <c r="AD236" s="199"/>
      <c r="AE236" s="199"/>
      <c r="AR236" s="272" t="s">
        <v>819</v>
      </c>
      <c r="AT236" s="272" t="s">
        <v>531</v>
      </c>
      <c r="AU236" s="272" t="s">
        <v>22</v>
      </c>
      <c r="AY236" s="215" t="s">
        <v>529</v>
      </c>
      <c r="BE236" s="273">
        <f>IF(N236="základní",J236,0)</f>
        <v>0</v>
      </c>
      <c r="BF236" s="273">
        <f>IF(N236="snížená",J236,0)</f>
        <v>0</v>
      </c>
      <c r="BG236" s="273">
        <f>IF(N236="zákl. přenesená",J236,0)</f>
        <v>0</v>
      </c>
      <c r="BH236" s="273">
        <f>IF(N236="sníž. přenesená",J236,0)</f>
        <v>0</v>
      </c>
      <c r="BI236" s="273">
        <f>IF(N236="nulová",J236,0)</f>
        <v>0</v>
      </c>
      <c r="BJ236" s="215" t="s">
        <v>21</v>
      </c>
      <c r="BK236" s="273">
        <f>ROUND(I236*H236,2)</f>
        <v>0</v>
      </c>
      <c r="BL236" s="215" t="s">
        <v>819</v>
      </c>
      <c r="BM236" s="272" t="s">
        <v>824</v>
      </c>
    </row>
    <row r="237" spans="1:65" s="203" customFormat="1" ht="29.25">
      <c r="A237" s="199"/>
      <c r="B237" s="204"/>
      <c r="C237" s="199"/>
      <c r="D237" s="276" t="s">
        <v>613</v>
      </c>
      <c r="E237" s="199"/>
      <c r="F237" s="299" t="s">
        <v>825</v>
      </c>
      <c r="G237" s="199"/>
      <c r="H237" s="199"/>
      <c r="I237" s="199"/>
      <c r="J237" s="199"/>
      <c r="K237" s="199"/>
      <c r="L237" s="204"/>
      <c r="M237" s="300"/>
      <c r="N237" s="301"/>
      <c r="O237" s="302"/>
      <c r="P237" s="302"/>
      <c r="Q237" s="302"/>
      <c r="R237" s="302"/>
      <c r="S237" s="302"/>
      <c r="T237" s="303"/>
      <c r="U237" s="199"/>
      <c r="V237" s="199"/>
      <c r="W237" s="199"/>
      <c r="X237" s="199"/>
      <c r="Y237" s="199"/>
      <c r="Z237" s="199"/>
      <c r="AA237" s="199"/>
      <c r="AB237" s="199"/>
      <c r="AC237" s="199"/>
      <c r="AD237" s="199"/>
      <c r="AE237" s="199"/>
      <c r="AT237" s="215" t="s">
        <v>613</v>
      </c>
      <c r="AU237" s="215" t="s">
        <v>22</v>
      </c>
    </row>
    <row r="238" spans="1:65" s="247" customFormat="1" ht="22.9" customHeight="1">
      <c r="B238" s="248"/>
      <c r="D238" s="249" t="s">
        <v>526</v>
      </c>
      <c r="E238" s="258" t="s">
        <v>826</v>
      </c>
      <c r="F238" s="258" t="s">
        <v>827</v>
      </c>
      <c r="J238" s="259">
        <f>BK238</f>
        <v>0</v>
      </c>
      <c r="L238" s="248"/>
      <c r="M238" s="252"/>
      <c r="N238" s="253"/>
      <c r="O238" s="253"/>
      <c r="P238" s="254">
        <f>SUM(P239:P240)</f>
        <v>0</v>
      </c>
      <c r="Q238" s="253"/>
      <c r="R238" s="254">
        <f>SUM(R239:R240)</f>
        <v>0</v>
      </c>
      <c r="S238" s="253"/>
      <c r="T238" s="255">
        <f>SUM(T239:T240)</f>
        <v>0</v>
      </c>
      <c r="AR238" s="249" t="s">
        <v>25</v>
      </c>
      <c r="AT238" s="256" t="s">
        <v>526</v>
      </c>
      <c r="AU238" s="256" t="s">
        <v>21</v>
      </c>
      <c r="AY238" s="249" t="s">
        <v>529</v>
      </c>
      <c r="BK238" s="257">
        <f>SUM(BK239:BK240)</f>
        <v>0</v>
      </c>
    </row>
    <row r="239" spans="1:65" s="203" customFormat="1" ht="14.45" customHeight="1">
      <c r="A239" s="199"/>
      <c r="B239" s="260"/>
      <c r="C239" s="261" t="s">
        <v>23</v>
      </c>
      <c r="D239" s="261" t="s">
        <v>531</v>
      </c>
      <c r="E239" s="262" t="s">
        <v>828</v>
      </c>
      <c r="F239" s="263" t="s">
        <v>827</v>
      </c>
      <c r="G239" s="264" t="s">
        <v>311</v>
      </c>
      <c r="H239" s="265">
        <v>1</v>
      </c>
      <c r="I239" s="266"/>
      <c r="J239" s="266">
        <f>ROUND(I239*H239,2)</f>
        <v>0</v>
      </c>
      <c r="K239" s="267"/>
      <c r="L239" s="204"/>
      <c r="M239" s="268" t="s">
        <v>518</v>
      </c>
      <c r="N239" s="269" t="s">
        <v>534</v>
      </c>
      <c r="O239" s="270">
        <v>0</v>
      </c>
      <c r="P239" s="270">
        <f>O239*H239</f>
        <v>0</v>
      </c>
      <c r="Q239" s="270">
        <v>0</v>
      </c>
      <c r="R239" s="270">
        <f>Q239*H239</f>
        <v>0</v>
      </c>
      <c r="S239" s="270">
        <v>0</v>
      </c>
      <c r="T239" s="271">
        <f>S239*H239</f>
        <v>0</v>
      </c>
      <c r="U239" s="199"/>
      <c r="V239" s="199"/>
      <c r="W239" s="199"/>
      <c r="X239" s="199"/>
      <c r="Y239" s="199"/>
      <c r="Z239" s="199"/>
      <c r="AA239" s="199"/>
      <c r="AB239" s="199"/>
      <c r="AC239" s="199"/>
      <c r="AD239" s="199"/>
      <c r="AE239" s="199"/>
      <c r="AR239" s="272" t="s">
        <v>819</v>
      </c>
      <c r="AT239" s="272" t="s">
        <v>531</v>
      </c>
      <c r="AU239" s="272" t="s">
        <v>22</v>
      </c>
      <c r="AY239" s="215" t="s">
        <v>529</v>
      </c>
      <c r="BE239" s="273">
        <f>IF(N239="základní",J239,0)</f>
        <v>0</v>
      </c>
      <c r="BF239" s="273">
        <f>IF(N239="snížená",J239,0)</f>
        <v>0</v>
      </c>
      <c r="BG239" s="273">
        <f>IF(N239="zákl. přenesená",J239,0)</f>
        <v>0</v>
      </c>
      <c r="BH239" s="273">
        <f>IF(N239="sníž. přenesená",J239,0)</f>
        <v>0</v>
      </c>
      <c r="BI239" s="273">
        <f>IF(N239="nulová",J239,0)</f>
        <v>0</v>
      </c>
      <c r="BJ239" s="215" t="s">
        <v>21</v>
      </c>
      <c r="BK239" s="273">
        <f>ROUND(I239*H239,2)</f>
        <v>0</v>
      </c>
      <c r="BL239" s="215" t="s">
        <v>819</v>
      </c>
      <c r="BM239" s="272" t="s">
        <v>829</v>
      </c>
    </row>
    <row r="240" spans="1:65" s="203" customFormat="1" ht="87.75">
      <c r="A240" s="199"/>
      <c r="B240" s="204"/>
      <c r="C240" s="199"/>
      <c r="D240" s="276" t="s">
        <v>613</v>
      </c>
      <c r="E240" s="199"/>
      <c r="F240" s="299" t="s">
        <v>830</v>
      </c>
      <c r="G240" s="199"/>
      <c r="H240" s="199"/>
      <c r="I240" s="199"/>
      <c r="J240" s="199"/>
      <c r="K240" s="199"/>
      <c r="L240" s="204"/>
      <c r="M240" s="300"/>
      <c r="N240" s="301"/>
      <c r="O240" s="302"/>
      <c r="P240" s="302"/>
      <c r="Q240" s="302"/>
      <c r="R240" s="302"/>
      <c r="S240" s="302"/>
      <c r="T240" s="303"/>
      <c r="U240" s="199"/>
      <c r="V240" s="199"/>
      <c r="W240" s="199"/>
      <c r="X240" s="199"/>
      <c r="Y240" s="199"/>
      <c r="Z240" s="199"/>
      <c r="AA240" s="199"/>
      <c r="AB240" s="199"/>
      <c r="AC240" s="199"/>
      <c r="AD240" s="199"/>
      <c r="AE240" s="199"/>
      <c r="AT240" s="215" t="s">
        <v>613</v>
      </c>
      <c r="AU240" s="215" t="s">
        <v>22</v>
      </c>
    </row>
    <row r="241" spans="1:65" s="247" customFormat="1" ht="22.9" customHeight="1">
      <c r="B241" s="248"/>
      <c r="D241" s="249" t="s">
        <v>526</v>
      </c>
      <c r="E241" s="258" t="s">
        <v>831</v>
      </c>
      <c r="F241" s="258" t="s">
        <v>832</v>
      </c>
      <c r="J241" s="259">
        <f>BK241</f>
        <v>0</v>
      </c>
      <c r="L241" s="248"/>
      <c r="M241" s="252"/>
      <c r="N241" s="253"/>
      <c r="O241" s="253"/>
      <c r="P241" s="254">
        <f>P242</f>
        <v>0</v>
      </c>
      <c r="Q241" s="253"/>
      <c r="R241" s="254">
        <f>R242</f>
        <v>0</v>
      </c>
      <c r="S241" s="253"/>
      <c r="T241" s="255">
        <f>T242</f>
        <v>0</v>
      </c>
      <c r="AR241" s="249" t="s">
        <v>25</v>
      </c>
      <c r="AT241" s="256" t="s">
        <v>526</v>
      </c>
      <c r="AU241" s="256" t="s">
        <v>21</v>
      </c>
      <c r="AY241" s="249" t="s">
        <v>529</v>
      </c>
      <c r="BK241" s="257">
        <f>BK242</f>
        <v>0</v>
      </c>
    </row>
    <row r="242" spans="1:65" s="203" customFormat="1" ht="14.45" customHeight="1">
      <c r="A242" s="199"/>
      <c r="B242" s="260"/>
      <c r="C242" s="261" t="s">
        <v>24</v>
      </c>
      <c r="D242" s="261" t="s">
        <v>531</v>
      </c>
      <c r="E242" s="262" t="s">
        <v>833</v>
      </c>
      <c r="F242" s="263" t="s">
        <v>834</v>
      </c>
      <c r="G242" s="264" t="s">
        <v>311</v>
      </c>
      <c r="H242" s="265">
        <v>1</v>
      </c>
      <c r="I242" s="266"/>
      <c r="J242" s="266">
        <f>ROUND(I242*H242,2)</f>
        <v>0</v>
      </c>
      <c r="K242" s="267"/>
      <c r="L242" s="204"/>
      <c r="M242" s="314" t="s">
        <v>518</v>
      </c>
      <c r="N242" s="315" t="s">
        <v>534</v>
      </c>
      <c r="O242" s="316">
        <v>0</v>
      </c>
      <c r="P242" s="316">
        <f>O242*H242</f>
        <v>0</v>
      </c>
      <c r="Q242" s="316">
        <v>0</v>
      </c>
      <c r="R242" s="316">
        <f>Q242*H242</f>
        <v>0</v>
      </c>
      <c r="S242" s="316">
        <v>0</v>
      </c>
      <c r="T242" s="317">
        <f>S242*H242</f>
        <v>0</v>
      </c>
      <c r="U242" s="199"/>
      <c r="V242" s="199"/>
      <c r="W242" s="199"/>
      <c r="X242" s="199"/>
      <c r="Y242" s="199"/>
      <c r="Z242" s="199"/>
      <c r="AA242" s="199"/>
      <c r="AB242" s="199"/>
      <c r="AC242" s="199"/>
      <c r="AD242" s="199"/>
      <c r="AE242" s="199"/>
      <c r="AR242" s="272" t="s">
        <v>819</v>
      </c>
      <c r="AT242" s="272" t="s">
        <v>531</v>
      </c>
      <c r="AU242" s="272" t="s">
        <v>22</v>
      </c>
      <c r="AY242" s="215" t="s">
        <v>529</v>
      </c>
      <c r="BE242" s="273">
        <f>IF(N242="základní",J242,0)</f>
        <v>0</v>
      </c>
      <c r="BF242" s="273">
        <f>IF(N242="snížená",J242,0)</f>
        <v>0</v>
      </c>
      <c r="BG242" s="273">
        <f>IF(N242="zákl. přenesená",J242,0)</f>
        <v>0</v>
      </c>
      <c r="BH242" s="273">
        <f>IF(N242="sníž. přenesená",J242,0)</f>
        <v>0</v>
      </c>
      <c r="BI242" s="273">
        <f>IF(N242="nulová",J242,0)</f>
        <v>0</v>
      </c>
      <c r="BJ242" s="215" t="s">
        <v>21</v>
      </c>
      <c r="BK242" s="273">
        <f>ROUND(I242*H242,2)</f>
        <v>0</v>
      </c>
      <c r="BL242" s="215" t="s">
        <v>819</v>
      </c>
      <c r="BM242" s="272" t="s">
        <v>835</v>
      </c>
    </row>
    <row r="243" spans="1:65" s="203" customFormat="1" ht="6.95" customHeight="1">
      <c r="A243" s="199"/>
      <c r="B243" s="226"/>
      <c r="C243" s="227"/>
      <c r="D243" s="227"/>
      <c r="E243" s="227"/>
      <c r="F243" s="227"/>
      <c r="G243" s="227"/>
      <c r="H243" s="227"/>
      <c r="I243" s="227"/>
      <c r="J243" s="227"/>
      <c r="K243" s="227"/>
      <c r="L243" s="204"/>
      <c r="M243" s="199"/>
      <c r="O243" s="199"/>
      <c r="P243" s="199"/>
      <c r="Q243" s="199"/>
      <c r="R243" s="199"/>
      <c r="S243" s="199"/>
      <c r="T243" s="199"/>
      <c r="U243" s="199"/>
      <c r="V243" s="199"/>
      <c r="W243" s="199"/>
      <c r="X243" s="199"/>
      <c r="Y243" s="199"/>
      <c r="Z243" s="199"/>
      <c r="AA243" s="199"/>
      <c r="AB243" s="199"/>
      <c r="AC243" s="199"/>
      <c r="AD243" s="199"/>
      <c r="AE243" s="199"/>
    </row>
    <row r="244" spans="1:65" s="198" customFormat="1"/>
  </sheetData>
  <mergeCells count="8">
    <mergeCell ref="E221:H221"/>
    <mergeCell ref="E223:H223"/>
    <mergeCell ref="E10:H10"/>
    <mergeCell ref="E12:H12"/>
    <mergeCell ref="E38:H38"/>
    <mergeCell ref="E40:H40"/>
    <mergeCell ref="E196:H196"/>
    <mergeCell ref="E198:H198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60"/>
  <sheetViews>
    <sheetView view="pageBreakPreview" topLeftCell="A139" zoomScale="80" zoomScaleSheetLayoutView="80" workbookViewId="0">
      <selection activeCell="F160" sqref="F16:F160"/>
    </sheetView>
  </sheetViews>
  <sheetFormatPr defaultColWidth="9.1640625" defaultRowHeight="10.5"/>
  <cols>
    <col min="1" max="1" width="6.5" style="158" customWidth="1"/>
    <col min="2" max="2" width="15.5" style="83" customWidth="1"/>
    <col min="3" max="3" width="96.5" style="83" customWidth="1"/>
    <col min="4" max="4" width="5.5" style="83" customWidth="1"/>
    <col min="5" max="5" width="13" style="83" customWidth="1"/>
    <col min="6" max="6" width="16" style="83" customWidth="1"/>
    <col min="7" max="7" width="18.33203125" style="83" customWidth="1"/>
    <col min="8" max="14" width="0" style="83" hidden="1" customWidth="1"/>
    <col min="15" max="16384" width="9.1640625" style="83"/>
  </cols>
  <sheetData>
    <row r="1" spans="1:14" ht="12.75">
      <c r="A1" s="403" t="s">
        <v>0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ht="12.75">
      <c r="A2" s="379" t="s">
        <v>425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1"/>
    </row>
    <row r="3" spans="1:14" ht="12.75">
      <c r="A3" s="379" t="s">
        <v>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1"/>
    </row>
    <row r="4" spans="1:14" ht="12.75">
      <c r="A4" s="336"/>
      <c r="B4" s="73"/>
      <c r="C4" s="75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2.75">
      <c r="A5" s="76"/>
      <c r="B5" s="77"/>
      <c r="C5" s="78"/>
      <c r="D5" s="77"/>
      <c r="E5" s="84"/>
      <c r="F5" s="85"/>
      <c r="G5" s="86"/>
      <c r="H5" s="86"/>
      <c r="I5" s="85"/>
      <c r="J5" s="85"/>
      <c r="K5" s="85"/>
      <c r="L5" s="85"/>
      <c r="M5" s="85"/>
      <c r="N5" s="85"/>
    </row>
    <row r="6" spans="1:14" ht="12.75">
      <c r="A6" s="380" t="s">
        <v>2</v>
      </c>
      <c r="B6" s="77"/>
      <c r="C6" s="78"/>
      <c r="D6" s="77"/>
      <c r="E6" s="84"/>
      <c r="F6" s="85"/>
      <c r="G6" s="86"/>
      <c r="H6" s="86"/>
      <c r="I6" s="85"/>
      <c r="J6" s="85"/>
      <c r="K6" s="85"/>
      <c r="L6" s="85"/>
      <c r="M6" s="85"/>
      <c r="N6" s="85"/>
    </row>
    <row r="7" spans="1:14" ht="16.149999999999999" customHeight="1">
      <c r="A7" s="380" t="s">
        <v>3</v>
      </c>
      <c r="B7" s="77"/>
      <c r="C7" s="78"/>
      <c r="D7" s="77"/>
      <c r="E7" s="84"/>
      <c r="F7" s="85"/>
      <c r="G7" s="86"/>
      <c r="H7" s="86"/>
      <c r="I7" s="85"/>
      <c r="J7" s="85"/>
      <c r="K7" s="87" t="s">
        <v>4</v>
      </c>
      <c r="L7" s="85"/>
      <c r="M7" s="85"/>
      <c r="N7" s="85"/>
    </row>
    <row r="8" spans="1:14" ht="38.25">
      <c r="A8" s="380" t="s">
        <v>5</v>
      </c>
      <c r="B8" s="77"/>
      <c r="C8" s="78"/>
      <c r="D8" s="77"/>
      <c r="E8" s="84"/>
      <c r="F8" s="85"/>
      <c r="G8" s="86"/>
      <c r="H8" s="86"/>
      <c r="I8" s="85"/>
      <c r="J8" s="85"/>
      <c r="K8" s="87" t="s">
        <v>6</v>
      </c>
      <c r="L8" s="85"/>
      <c r="M8" s="85"/>
      <c r="N8" s="85"/>
    </row>
    <row r="9" spans="1:14">
      <c r="A9" s="381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28.9" customHeight="1">
      <c r="A10" s="8" t="s">
        <v>7</v>
      </c>
      <c r="B10" s="8" t="s">
        <v>8</v>
      </c>
      <c r="C10" s="8" t="s">
        <v>9</v>
      </c>
      <c r="D10" s="8" t="s">
        <v>10</v>
      </c>
      <c r="E10" s="8" t="s">
        <v>11</v>
      </c>
      <c r="F10" s="8" t="s">
        <v>12</v>
      </c>
      <c r="G10" s="8" t="s">
        <v>13</v>
      </c>
      <c r="H10" s="8" t="s">
        <v>14</v>
      </c>
      <c r="I10" s="8" t="s">
        <v>15</v>
      </c>
      <c r="J10" s="8" t="s">
        <v>16</v>
      </c>
      <c r="K10" s="8" t="s">
        <v>17</v>
      </c>
      <c r="L10" s="8" t="s">
        <v>18</v>
      </c>
      <c r="M10" s="8" t="s">
        <v>19</v>
      </c>
      <c r="N10" s="8" t="s">
        <v>20</v>
      </c>
    </row>
    <row r="11" spans="1:14" ht="11.25">
      <c r="A11" s="8" t="s">
        <v>21</v>
      </c>
      <c r="B11" s="8" t="s">
        <v>22</v>
      </c>
      <c r="C11" s="8" t="s">
        <v>23</v>
      </c>
      <c r="D11" s="8" t="s">
        <v>24</v>
      </c>
      <c r="E11" s="8" t="s">
        <v>25</v>
      </c>
      <c r="F11" s="8" t="s">
        <v>26</v>
      </c>
      <c r="G11" s="8" t="s">
        <v>27</v>
      </c>
      <c r="H11" s="8" t="s">
        <v>28</v>
      </c>
      <c r="I11" s="8" t="s">
        <v>29</v>
      </c>
      <c r="J11" s="8" t="s">
        <v>30</v>
      </c>
      <c r="K11" s="8" t="s">
        <v>31</v>
      </c>
      <c r="L11" s="8" t="s">
        <v>32</v>
      </c>
      <c r="M11" s="8" t="s">
        <v>33</v>
      </c>
      <c r="N11" s="8" t="s">
        <v>34</v>
      </c>
    </row>
    <row r="12" spans="1:14">
      <c r="A12" s="382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4" ht="27" customHeight="1">
      <c r="A13" s="88"/>
      <c r="B13" s="371" t="s">
        <v>35</v>
      </c>
      <c r="C13" s="371" t="s">
        <v>36</v>
      </c>
      <c r="D13" s="371"/>
      <c r="E13" s="375"/>
      <c r="F13" s="376"/>
      <c r="G13" s="377">
        <f>G14+G41+G89+G93+G96+G150</f>
        <v>0</v>
      </c>
      <c r="H13" s="90">
        <v>376378.02500000002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</row>
    <row r="14" spans="1:14" ht="27" customHeight="1">
      <c r="A14" s="88"/>
      <c r="B14" s="363" t="s">
        <v>21</v>
      </c>
      <c r="C14" s="363" t="s">
        <v>37</v>
      </c>
      <c r="D14" s="363"/>
      <c r="E14" s="368"/>
      <c r="F14" s="370"/>
      <c r="G14" s="367">
        <f>SUM(G16:G40)</f>
        <v>0</v>
      </c>
      <c r="H14" s="90">
        <v>43328.6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</row>
    <row r="15" spans="1:14" ht="27" customHeight="1">
      <c r="A15" s="88"/>
      <c r="B15" s="11"/>
      <c r="C15" s="11" t="s">
        <v>95</v>
      </c>
      <c r="D15" s="11"/>
      <c r="E15" s="89"/>
      <c r="F15" s="90"/>
      <c r="G15" s="90"/>
      <c r="H15" s="90"/>
      <c r="I15" s="90"/>
      <c r="J15" s="90"/>
      <c r="K15" s="90"/>
      <c r="L15" s="90"/>
      <c r="M15" s="90"/>
      <c r="N15" s="90"/>
    </row>
    <row r="16" spans="1:14" ht="27" customHeight="1">
      <c r="A16" s="119">
        <v>1</v>
      </c>
      <c r="B16" s="45" t="s">
        <v>107</v>
      </c>
      <c r="C16" s="45" t="s">
        <v>226</v>
      </c>
      <c r="D16" s="45" t="s">
        <v>139</v>
      </c>
      <c r="E16" s="91">
        <v>1</v>
      </c>
      <c r="F16" s="47"/>
      <c r="G16" s="47">
        <f>F16*E16</f>
        <v>0</v>
      </c>
      <c r="H16" s="90"/>
      <c r="I16" s="90"/>
      <c r="J16" s="90"/>
      <c r="K16" s="90"/>
      <c r="L16" s="90"/>
      <c r="M16" s="90"/>
      <c r="N16" s="90"/>
    </row>
    <row r="17" spans="1:14" ht="38.25">
      <c r="A17" s="119">
        <v>2</v>
      </c>
      <c r="B17" s="45" t="s">
        <v>38</v>
      </c>
      <c r="C17" s="45" t="s">
        <v>39</v>
      </c>
      <c r="D17" s="45" t="s">
        <v>40</v>
      </c>
      <c r="E17" s="91">
        <f>458+45</f>
        <v>503</v>
      </c>
      <c r="F17" s="47"/>
      <c r="G17" s="47">
        <f>F17*E17</f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</row>
    <row r="18" spans="1:14" ht="25.5">
      <c r="A18" s="119">
        <v>3</v>
      </c>
      <c r="B18" s="45" t="s">
        <v>54</v>
      </c>
      <c r="C18" s="45" t="s">
        <v>55</v>
      </c>
      <c r="D18" s="45" t="s">
        <v>56</v>
      </c>
      <c r="E18" s="105">
        <f>E17*0.06*1.5</f>
        <v>45.269999999999996</v>
      </c>
      <c r="F18" s="47"/>
      <c r="G18" s="47">
        <f t="shared" ref="G18:G25" si="0">F18*E18</f>
        <v>0</v>
      </c>
      <c r="H18" s="92">
        <v>2469.6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</row>
    <row r="19" spans="1:14" ht="25.5">
      <c r="A19" s="119">
        <v>4</v>
      </c>
      <c r="B19" s="45" t="s">
        <v>43</v>
      </c>
      <c r="C19" s="45" t="s">
        <v>44</v>
      </c>
      <c r="D19" s="45" t="s">
        <v>45</v>
      </c>
      <c r="E19" s="46">
        <v>45.9</v>
      </c>
      <c r="F19" s="47"/>
      <c r="G19" s="47">
        <f t="shared" si="0"/>
        <v>0</v>
      </c>
      <c r="H19" s="94"/>
      <c r="I19" s="94"/>
      <c r="J19" s="94"/>
      <c r="K19" s="94"/>
      <c r="L19" s="94"/>
      <c r="M19" s="94"/>
      <c r="N19" s="94"/>
    </row>
    <row r="20" spans="1:14" ht="25.5">
      <c r="A20" s="119">
        <v>5</v>
      </c>
      <c r="B20" s="45">
        <v>131201102</v>
      </c>
      <c r="C20" s="45" t="s">
        <v>96</v>
      </c>
      <c r="D20" s="45" t="s">
        <v>45</v>
      </c>
      <c r="E20" s="46">
        <v>211</v>
      </c>
      <c r="F20" s="47"/>
      <c r="G20" s="47">
        <f t="shared" si="0"/>
        <v>0</v>
      </c>
      <c r="H20" s="94"/>
      <c r="I20" s="94"/>
      <c r="J20" s="94"/>
      <c r="K20" s="94"/>
      <c r="L20" s="94"/>
      <c r="M20" s="94"/>
      <c r="N20" s="94"/>
    </row>
    <row r="21" spans="1:14" ht="25.5">
      <c r="A21" s="119">
        <v>6</v>
      </c>
      <c r="B21" s="45" t="s">
        <v>46</v>
      </c>
      <c r="C21" s="45" t="s">
        <v>47</v>
      </c>
      <c r="D21" s="45" t="s">
        <v>45</v>
      </c>
      <c r="E21" s="46">
        <f>SUM(E19:E20)</f>
        <v>256.89999999999998</v>
      </c>
      <c r="F21" s="47"/>
      <c r="G21" s="47">
        <f t="shared" si="0"/>
        <v>0</v>
      </c>
      <c r="H21" s="94"/>
      <c r="I21" s="94"/>
      <c r="J21" s="94"/>
      <c r="K21" s="94"/>
      <c r="L21" s="94"/>
      <c r="M21" s="94"/>
      <c r="N21" s="94"/>
    </row>
    <row r="22" spans="1:14" ht="38.25">
      <c r="A22" s="119">
        <v>7</v>
      </c>
      <c r="B22" s="45" t="s">
        <v>48</v>
      </c>
      <c r="C22" s="45" t="s">
        <v>49</v>
      </c>
      <c r="D22" s="45" t="s">
        <v>45</v>
      </c>
      <c r="E22" s="46">
        <f>E21</f>
        <v>256.89999999999998</v>
      </c>
      <c r="F22" s="47"/>
      <c r="G22" s="47">
        <f t="shared" si="0"/>
        <v>0</v>
      </c>
      <c r="H22" s="94"/>
      <c r="I22" s="94"/>
      <c r="J22" s="94"/>
      <c r="K22" s="94"/>
      <c r="L22" s="94"/>
      <c r="M22" s="94"/>
      <c r="N22" s="94"/>
    </row>
    <row r="23" spans="1:14" ht="25.5">
      <c r="A23" s="119">
        <v>8</v>
      </c>
      <c r="B23" s="45">
        <v>167101101</v>
      </c>
      <c r="C23" s="45" t="s">
        <v>258</v>
      </c>
      <c r="D23" s="45" t="s">
        <v>45</v>
      </c>
      <c r="E23" s="46">
        <f>E19</f>
        <v>45.9</v>
      </c>
      <c r="F23" s="47"/>
      <c r="G23" s="47">
        <f t="shared" si="0"/>
        <v>0</v>
      </c>
      <c r="H23" s="94"/>
      <c r="I23" s="94"/>
      <c r="J23" s="94"/>
      <c r="K23" s="94"/>
      <c r="L23" s="94"/>
      <c r="M23" s="94"/>
      <c r="N23" s="94"/>
    </row>
    <row r="24" spans="1:14" ht="25.5">
      <c r="A24" s="119">
        <v>9</v>
      </c>
      <c r="B24" s="45" t="s">
        <v>50</v>
      </c>
      <c r="C24" s="45" t="s">
        <v>51</v>
      </c>
      <c r="D24" s="45" t="s">
        <v>45</v>
      </c>
      <c r="E24" s="46">
        <f>E20</f>
        <v>211</v>
      </c>
      <c r="F24" s="47"/>
      <c r="G24" s="47">
        <f t="shared" si="0"/>
        <v>0</v>
      </c>
      <c r="H24" s="94"/>
      <c r="I24" s="94"/>
      <c r="J24" s="94"/>
      <c r="K24" s="94"/>
      <c r="L24" s="94"/>
      <c r="M24" s="94"/>
      <c r="N24" s="94"/>
    </row>
    <row r="25" spans="1:14" ht="12.75">
      <c r="A25" s="338">
        <v>10</v>
      </c>
      <c r="B25" s="50" t="s">
        <v>52</v>
      </c>
      <c r="C25" s="50" t="s">
        <v>53</v>
      </c>
      <c r="D25" s="50" t="s">
        <v>45</v>
      </c>
      <c r="E25" s="51">
        <f>E22</f>
        <v>256.89999999999998</v>
      </c>
      <c r="F25" s="52"/>
      <c r="G25" s="52">
        <f t="shared" si="0"/>
        <v>0</v>
      </c>
      <c r="H25" s="94"/>
      <c r="I25" s="94"/>
      <c r="J25" s="94"/>
      <c r="K25" s="94"/>
      <c r="L25" s="94"/>
      <c r="M25" s="94"/>
      <c r="N25" s="94"/>
    </row>
    <row r="26" spans="1:14" ht="38.25">
      <c r="A26" s="321">
        <v>11</v>
      </c>
      <c r="B26" s="115">
        <v>120901121</v>
      </c>
      <c r="C26" s="115" t="s">
        <v>846</v>
      </c>
      <c r="D26" s="115" t="s">
        <v>45</v>
      </c>
      <c r="E26" s="339">
        <f>41.5*0.02*0.2+4.3*0.3*0.2+9*0.4</f>
        <v>4.024</v>
      </c>
      <c r="F26" s="182"/>
      <c r="G26" s="182">
        <f>F26*E26</f>
        <v>0</v>
      </c>
      <c r="H26" s="94"/>
      <c r="I26" s="94"/>
      <c r="J26" s="94"/>
      <c r="K26" s="94"/>
      <c r="L26" s="94"/>
      <c r="M26" s="94"/>
      <c r="N26" s="94"/>
    </row>
    <row r="27" spans="1:14" ht="25.5">
      <c r="A27" s="362">
        <v>12</v>
      </c>
      <c r="B27" s="358" t="s">
        <v>107</v>
      </c>
      <c r="C27" s="359" t="s">
        <v>847</v>
      </c>
      <c r="D27" s="359" t="s">
        <v>56</v>
      </c>
      <c r="E27" s="360">
        <f>E26*2</f>
        <v>8.048</v>
      </c>
      <c r="F27" s="361"/>
      <c r="G27" s="361">
        <f t="shared" ref="G27" si="1">F27*E27</f>
        <v>0</v>
      </c>
      <c r="H27" s="94"/>
      <c r="I27" s="94"/>
      <c r="J27" s="94"/>
      <c r="K27" s="94"/>
      <c r="L27" s="94"/>
      <c r="M27" s="94"/>
      <c r="N27" s="94"/>
    </row>
    <row r="28" spans="1:14" ht="12.75">
      <c r="A28" s="357"/>
      <c r="B28" s="48"/>
      <c r="C28" s="48"/>
      <c r="D28" s="48"/>
      <c r="E28" s="337"/>
      <c r="F28" s="49"/>
      <c r="G28" s="49"/>
      <c r="H28" s="94"/>
      <c r="I28" s="94"/>
      <c r="J28" s="94"/>
      <c r="K28" s="94"/>
      <c r="L28" s="94"/>
      <c r="M28" s="94"/>
      <c r="N28" s="94"/>
    </row>
    <row r="29" spans="1:14" ht="21.6" customHeight="1">
      <c r="A29" s="119"/>
      <c r="B29" s="48"/>
      <c r="C29" s="11" t="s">
        <v>314</v>
      </c>
      <c r="D29" s="48"/>
      <c r="E29" s="93"/>
      <c r="F29" s="49"/>
      <c r="G29" s="94"/>
      <c r="H29" s="94"/>
      <c r="I29" s="94"/>
      <c r="J29" s="94"/>
      <c r="K29" s="94"/>
      <c r="L29" s="94"/>
      <c r="M29" s="94"/>
      <c r="N29" s="94"/>
    </row>
    <row r="30" spans="1:14" ht="25.15" customHeight="1">
      <c r="A30" s="321">
        <v>12</v>
      </c>
      <c r="B30" s="104">
        <v>112151353</v>
      </c>
      <c r="C30" s="104" t="s">
        <v>844</v>
      </c>
      <c r="D30" s="104" t="s">
        <v>109</v>
      </c>
      <c r="E30" s="105">
        <v>1</v>
      </c>
      <c r="F30" s="108"/>
      <c r="G30" s="108">
        <f>F30*E30</f>
        <v>0</v>
      </c>
      <c r="H30" s="92">
        <v>0</v>
      </c>
      <c r="I30" s="92">
        <v>0</v>
      </c>
      <c r="J30" s="92">
        <v>0</v>
      </c>
      <c r="K30" s="92">
        <v>0</v>
      </c>
      <c r="L30" s="92">
        <v>0</v>
      </c>
      <c r="M30" s="92">
        <v>0</v>
      </c>
      <c r="N30" s="92">
        <v>0</v>
      </c>
    </row>
    <row r="31" spans="1:14" ht="25.15" customHeight="1">
      <c r="A31" s="321">
        <v>13</v>
      </c>
      <c r="B31" s="104">
        <v>112151354</v>
      </c>
      <c r="C31" s="104" t="s">
        <v>840</v>
      </c>
      <c r="D31" s="104" t="s">
        <v>109</v>
      </c>
      <c r="E31" s="105">
        <v>3</v>
      </c>
      <c r="F31" s="108"/>
      <c r="G31" s="108">
        <f t="shared" ref="G31:G40" si="2">F31*E31</f>
        <v>0</v>
      </c>
      <c r="H31" s="92">
        <v>0</v>
      </c>
      <c r="I31" s="92">
        <v>0</v>
      </c>
      <c r="J31" s="92">
        <v>0</v>
      </c>
      <c r="K31" s="92">
        <v>0</v>
      </c>
      <c r="L31" s="92">
        <v>0</v>
      </c>
      <c r="M31" s="92">
        <v>0</v>
      </c>
      <c r="N31" s="92">
        <v>0</v>
      </c>
    </row>
    <row r="32" spans="1:14" ht="25.15" customHeight="1">
      <c r="A32" s="119">
        <v>14</v>
      </c>
      <c r="B32" s="104" t="s">
        <v>112</v>
      </c>
      <c r="C32" s="104" t="s">
        <v>113</v>
      </c>
      <c r="D32" s="104" t="s">
        <v>109</v>
      </c>
      <c r="E32" s="105">
        <v>4</v>
      </c>
      <c r="F32" s="108"/>
      <c r="G32" s="108">
        <f t="shared" si="2"/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</v>
      </c>
    </row>
    <row r="33" spans="1:14" ht="27" customHeight="1">
      <c r="A33" s="321">
        <v>15</v>
      </c>
      <c r="B33" s="104">
        <v>111212311</v>
      </c>
      <c r="C33" s="104" t="s">
        <v>845</v>
      </c>
      <c r="D33" s="104" t="s">
        <v>40</v>
      </c>
      <c r="E33" s="105">
        <f>7.5+13</f>
        <v>20.5</v>
      </c>
      <c r="F33" s="108"/>
      <c r="G33" s="108">
        <f t="shared" si="2"/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</row>
    <row r="34" spans="1:14" ht="12.75">
      <c r="A34" s="119">
        <v>16</v>
      </c>
      <c r="B34" s="50">
        <v>112251221</v>
      </c>
      <c r="C34" s="50" t="s">
        <v>227</v>
      </c>
      <c r="D34" s="50" t="s">
        <v>40</v>
      </c>
      <c r="E34" s="95">
        <f>+E30+E244</f>
        <v>1</v>
      </c>
      <c r="F34" s="52"/>
      <c r="G34" s="47">
        <f t="shared" si="2"/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</row>
    <row r="35" spans="1:14" ht="12.75">
      <c r="A35" s="119">
        <v>17</v>
      </c>
      <c r="B35" s="58" t="s">
        <v>125</v>
      </c>
      <c r="C35" s="58" t="s">
        <v>126</v>
      </c>
      <c r="D35" s="58" t="s">
        <v>45</v>
      </c>
      <c r="E35" s="59">
        <f>E34*0.5</f>
        <v>0.5</v>
      </c>
      <c r="F35" s="60"/>
      <c r="G35" s="47">
        <f t="shared" si="2"/>
        <v>0</v>
      </c>
      <c r="H35" s="94"/>
      <c r="I35" s="94"/>
      <c r="J35" s="94"/>
      <c r="K35" s="94"/>
      <c r="L35" s="94"/>
      <c r="M35" s="94"/>
      <c r="N35" s="94"/>
    </row>
    <row r="36" spans="1:14" ht="25.5">
      <c r="A36" s="119">
        <v>18</v>
      </c>
      <c r="B36" s="65">
        <v>174111121</v>
      </c>
      <c r="C36" s="65" t="s">
        <v>256</v>
      </c>
      <c r="D36" s="65" t="s">
        <v>40</v>
      </c>
      <c r="E36" s="66">
        <f>E34</f>
        <v>1</v>
      </c>
      <c r="F36" s="53"/>
      <c r="G36" s="47">
        <f t="shared" si="2"/>
        <v>0</v>
      </c>
      <c r="H36" s="94"/>
      <c r="I36" s="94"/>
      <c r="J36" s="94"/>
      <c r="K36" s="94"/>
      <c r="L36" s="94"/>
      <c r="M36" s="94"/>
      <c r="N36" s="94"/>
    </row>
    <row r="37" spans="1:14" ht="12.75">
      <c r="A37" s="119">
        <v>19</v>
      </c>
      <c r="B37" s="65" t="s">
        <v>107</v>
      </c>
      <c r="C37" s="65" t="s">
        <v>118</v>
      </c>
      <c r="D37" s="65" t="s">
        <v>56</v>
      </c>
      <c r="E37" s="100">
        <v>16</v>
      </c>
      <c r="F37" s="53"/>
      <c r="G37" s="47">
        <f t="shared" si="2"/>
        <v>0</v>
      </c>
      <c r="H37" s="94"/>
      <c r="I37" s="94"/>
      <c r="J37" s="94"/>
      <c r="K37" s="94"/>
      <c r="L37" s="94"/>
      <c r="M37" s="94"/>
      <c r="N37" s="94"/>
    </row>
    <row r="38" spans="1:14" ht="25.5">
      <c r="A38" s="119">
        <v>20</v>
      </c>
      <c r="B38" s="45" t="s">
        <v>107</v>
      </c>
      <c r="C38" s="45" t="s">
        <v>307</v>
      </c>
      <c r="D38" s="45" t="s">
        <v>40</v>
      </c>
      <c r="E38" s="46">
        <v>100</v>
      </c>
      <c r="F38" s="47"/>
      <c r="G38" s="47">
        <f t="shared" si="2"/>
        <v>0</v>
      </c>
      <c r="H38" s="94"/>
      <c r="I38" s="94"/>
      <c r="J38" s="94"/>
      <c r="K38" s="94"/>
      <c r="L38" s="94"/>
      <c r="M38" s="94"/>
      <c r="N38" s="94"/>
    </row>
    <row r="39" spans="1:14" ht="12.75">
      <c r="A39" s="119">
        <v>21</v>
      </c>
      <c r="B39" s="45"/>
      <c r="C39" s="45" t="s">
        <v>308</v>
      </c>
      <c r="D39" s="45" t="s">
        <v>40</v>
      </c>
      <c r="E39" s="46">
        <v>100</v>
      </c>
      <c r="F39" s="47"/>
      <c r="G39" s="47">
        <f t="shared" si="2"/>
        <v>0</v>
      </c>
      <c r="H39" s="94"/>
      <c r="I39" s="94"/>
      <c r="J39" s="94"/>
      <c r="K39" s="94"/>
      <c r="L39" s="94"/>
      <c r="M39" s="94"/>
      <c r="N39" s="94"/>
    </row>
    <row r="40" spans="1:14" ht="25.5">
      <c r="A40" s="320">
        <v>22</v>
      </c>
      <c r="B40" s="115">
        <v>184818231</v>
      </c>
      <c r="C40" s="115" t="s">
        <v>842</v>
      </c>
      <c r="D40" s="115" t="s">
        <v>139</v>
      </c>
      <c r="E40" s="339">
        <v>7</v>
      </c>
      <c r="F40" s="182"/>
      <c r="G40" s="108">
        <f t="shared" si="2"/>
        <v>0</v>
      </c>
      <c r="H40" s="90">
        <v>282861.07500000001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</row>
    <row r="41" spans="1:14" ht="12.75">
      <c r="A41" s="119"/>
      <c r="B41" s="363" t="s">
        <v>25</v>
      </c>
      <c r="C41" s="363" t="s">
        <v>57</v>
      </c>
      <c r="D41" s="363"/>
      <c r="E41" s="368"/>
      <c r="F41" s="367"/>
      <c r="G41" s="367">
        <f>SUM(G43:G88)</f>
        <v>0</v>
      </c>
      <c r="H41" s="90"/>
      <c r="I41" s="90"/>
      <c r="J41" s="90"/>
      <c r="K41" s="90"/>
      <c r="L41" s="90"/>
      <c r="M41" s="90"/>
      <c r="N41" s="90"/>
    </row>
    <row r="42" spans="1:14" ht="12.75">
      <c r="A42" s="119">
        <v>23</v>
      </c>
      <c r="B42" s="11" t="s">
        <v>444</v>
      </c>
      <c r="C42" s="11" t="s">
        <v>446</v>
      </c>
      <c r="D42" s="11"/>
      <c r="E42" s="89"/>
      <c r="F42" s="12"/>
      <c r="G42" s="12"/>
      <c r="H42" s="90"/>
      <c r="I42" s="90"/>
      <c r="J42" s="90"/>
      <c r="K42" s="90"/>
      <c r="L42" s="90"/>
      <c r="M42" s="90"/>
      <c r="N42" s="90"/>
    </row>
    <row r="43" spans="1:14" ht="12.75">
      <c r="A43" s="119">
        <v>24</v>
      </c>
      <c r="B43" s="45" t="s">
        <v>60</v>
      </c>
      <c r="C43" s="45" t="s">
        <v>61</v>
      </c>
      <c r="D43" s="45" t="s">
        <v>40</v>
      </c>
      <c r="E43" s="91">
        <v>251.3</v>
      </c>
      <c r="F43" s="47"/>
      <c r="G43" s="47">
        <f>F43*E43</f>
        <v>0</v>
      </c>
      <c r="H43" s="90"/>
      <c r="I43" s="90"/>
      <c r="J43" s="90"/>
      <c r="K43" s="90"/>
      <c r="L43" s="90"/>
      <c r="M43" s="90"/>
      <c r="N43" s="90"/>
    </row>
    <row r="44" spans="1:14" ht="12.75">
      <c r="A44" s="119">
        <v>25</v>
      </c>
      <c r="B44" s="54" t="s">
        <v>62</v>
      </c>
      <c r="C44" s="54" t="s">
        <v>63</v>
      </c>
      <c r="D44" s="54" t="s">
        <v>56</v>
      </c>
      <c r="E44" s="96">
        <f>E43*0.03*2</f>
        <v>15.077999999999999</v>
      </c>
      <c r="F44" s="56"/>
      <c r="G44" s="47">
        <f t="shared" ref="G44:G81" si="3">F44*E44</f>
        <v>0</v>
      </c>
      <c r="H44" s="90"/>
      <c r="I44" s="90"/>
      <c r="J44" s="90"/>
      <c r="K44" s="90"/>
      <c r="L44" s="90"/>
      <c r="M44" s="90"/>
      <c r="N44" s="90"/>
    </row>
    <row r="45" spans="1:14" ht="12.75">
      <c r="A45" s="119">
        <v>26</v>
      </c>
      <c r="B45" s="45" t="s">
        <v>66</v>
      </c>
      <c r="C45" s="45" t="s">
        <v>67</v>
      </c>
      <c r="D45" s="45" t="s">
        <v>40</v>
      </c>
      <c r="E45" s="91">
        <f>E43</f>
        <v>251.3</v>
      </c>
      <c r="F45" s="47"/>
      <c r="G45" s="47">
        <f t="shared" si="3"/>
        <v>0</v>
      </c>
      <c r="H45" s="90"/>
      <c r="I45" s="90"/>
      <c r="J45" s="90"/>
      <c r="K45" s="90"/>
      <c r="L45" s="90"/>
      <c r="M45" s="90"/>
      <c r="N45" s="90"/>
    </row>
    <row r="46" spans="1:14" ht="12.75">
      <c r="A46" s="119">
        <v>27</v>
      </c>
      <c r="B46" s="54" t="s">
        <v>68</v>
      </c>
      <c r="C46" s="54" t="s">
        <v>69</v>
      </c>
      <c r="D46" s="54" t="s">
        <v>56</v>
      </c>
      <c r="E46" s="96">
        <f>E45*0.05*2</f>
        <v>25.130000000000003</v>
      </c>
      <c r="F46" s="56"/>
      <c r="G46" s="47">
        <f t="shared" si="3"/>
        <v>0</v>
      </c>
      <c r="H46" s="90"/>
      <c r="I46" s="90"/>
      <c r="J46" s="90"/>
      <c r="K46" s="90"/>
      <c r="L46" s="90"/>
      <c r="M46" s="90"/>
      <c r="N46" s="90"/>
    </row>
    <row r="47" spans="1:14" ht="12.75">
      <c r="A47" s="119">
        <v>28</v>
      </c>
      <c r="B47" s="45">
        <v>564871111</v>
      </c>
      <c r="C47" s="45" t="s">
        <v>230</v>
      </c>
      <c r="D47" s="45" t="s">
        <v>40</v>
      </c>
      <c r="E47" s="91">
        <f>E43</f>
        <v>251.3</v>
      </c>
      <c r="F47" s="47"/>
      <c r="G47" s="47">
        <f t="shared" si="3"/>
        <v>0</v>
      </c>
      <c r="H47" s="90"/>
      <c r="I47" s="90"/>
      <c r="J47" s="90"/>
      <c r="K47" s="90"/>
      <c r="L47" s="90"/>
      <c r="M47" s="90"/>
      <c r="N47" s="90"/>
    </row>
    <row r="48" spans="1:14" ht="12.75">
      <c r="A48" s="119">
        <v>29</v>
      </c>
      <c r="B48" s="54" t="s">
        <v>74</v>
      </c>
      <c r="C48" s="54" t="s">
        <v>229</v>
      </c>
      <c r="D48" s="54" t="s">
        <v>56</v>
      </c>
      <c r="E48" s="96">
        <f>E47*0.25*2</f>
        <v>125.65</v>
      </c>
      <c r="F48" s="56"/>
      <c r="G48" s="47">
        <f t="shared" si="3"/>
        <v>0</v>
      </c>
      <c r="H48" s="90"/>
      <c r="I48" s="90"/>
      <c r="J48" s="90"/>
      <c r="K48" s="90"/>
      <c r="L48" s="90"/>
      <c r="M48" s="90"/>
      <c r="N48" s="90"/>
    </row>
    <row r="49" spans="1:14" ht="12.75">
      <c r="A49" s="119">
        <v>30</v>
      </c>
      <c r="B49" s="45" t="s">
        <v>72</v>
      </c>
      <c r="C49" s="45" t="s">
        <v>73</v>
      </c>
      <c r="D49" s="45" t="s">
        <v>40</v>
      </c>
      <c r="E49" s="91">
        <f>E43</f>
        <v>251.3</v>
      </c>
      <c r="F49" s="47"/>
      <c r="G49" s="47">
        <f>F49*E49</f>
        <v>0</v>
      </c>
      <c r="H49" s="90"/>
      <c r="I49" s="90"/>
      <c r="J49" s="90"/>
      <c r="K49" s="90"/>
      <c r="L49" s="90"/>
      <c r="M49" s="90"/>
      <c r="N49" s="90"/>
    </row>
    <row r="50" spans="1:14" ht="12.75">
      <c r="A50" s="119">
        <v>31</v>
      </c>
      <c r="B50" s="54" t="s">
        <v>74</v>
      </c>
      <c r="C50" s="54" t="s">
        <v>228</v>
      </c>
      <c r="D50" s="54" t="s">
        <v>56</v>
      </c>
      <c r="E50" s="96">
        <f>E49*0.1*2</f>
        <v>50.260000000000005</v>
      </c>
      <c r="F50" s="56"/>
      <c r="G50" s="47">
        <f>F50*E50</f>
        <v>0</v>
      </c>
      <c r="H50" s="90"/>
      <c r="I50" s="90"/>
      <c r="J50" s="90"/>
      <c r="K50" s="90"/>
      <c r="L50" s="90"/>
      <c r="M50" s="90"/>
      <c r="N50" s="90"/>
    </row>
    <row r="51" spans="1:14" ht="38.25">
      <c r="A51" s="119">
        <v>32</v>
      </c>
      <c r="B51" s="45" t="s">
        <v>80</v>
      </c>
      <c r="C51" s="45" t="s">
        <v>81</v>
      </c>
      <c r="D51" s="45" t="s">
        <v>40</v>
      </c>
      <c r="E51" s="91">
        <f>E43</f>
        <v>251.3</v>
      </c>
      <c r="F51" s="47"/>
      <c r="G51" s="47">
        <f t="shared" si="3"/>
        <v>0</v>
      </c>
      <c r="H51" s="90"/>
      <c r="I51" s="90"/>
      <c r="J51" s="90"/>
      <c r="K51" s="90"/>
      <c r="L51" s="90"/>
      <c r="M51" s="90"/>
      <c r="N51" s="90"/>
    </row>
    <row r="52" spans="1:14" ht="26.45" customHeight="1">
      <c r="A52" s="321">
        <v>33</v>
      </c>
      <c r="B52" s="54" t="s">
        <v>79</v>
      </c>
      <c r="C52" s="54" t="s">
        <v>853</v>
      </c>
      <c r="D52" s="54" t="s">
        <v>40</v>
      </c>
      <c r="E52" s="96">
        <f>E51*1.02</f>
        <v>256.32600000000002</v>
      </c>
      <c r="F52" s="56"/>
      <c r="G52" s="47">
        <f t="shared" si="3"/>
        <v>0</v>
      </c>
      <c r="H52" s="90"/>
      <c r="I52" s="90"/>
      <c r="J52" s="90"/>
      <c r="K52" s="90"/>
      <c r="L52" s="90"/>
      <c r="M52" s="90"/>
      <c r="N52" s="90"/>
    </row>
    <row r="53" spans="1:14" ht="12.75">
      <c r="A53" s="119">
        <v>34</v>
      </c>
      <c r="B53" s="58" t="s">
        <v>108</v>
      </c>
      <c r="C53" s="54" t="s">
        <v>291</v>
      </c>
      <c r="D53" s="54" t="s">
        <v>45</v>
      </c>
      <c r="E53" s="55">
        <f>E52*0.01</f>
        <v>2.5632600000000001</v>
      </c>
      <c r="F53" s="56"/>
      <c r="G53" s="47">
        <f t="shared" si="3"/>
        <v>0</v>
      </c>
      <c r="H53" s="90"/>
      <c r="I53" s="90"/>
      <c r="J53" s="90"/>
      <c r="K53" s="90"/>
      <c r="L53" s="90"/>
      <c r="M53" s="90"/>
      <c r="N53" s="90"/>
    </row>
    <row r="54" spans="1:14" ht="12.75">
      <c r="A54" s="120">
        <v>35</v>
      </c>
      <c r="B54" s="114" t="s">
        <v>445</v>
      </c>
      <c r="C54" s="109" t="s">
        <v>447</v>
      </c>
      <c r="D54" s="109"/>
      <c r="E54" s="110"/>
      <c r="F54" s="171"/>
      <c r="G54" s="171"/>
      <c r="H54" s="90"/>
      <c r="I54" s="90"/>
      <c r="J54" s="90"/>
      <c r="K54" s="90"/>
      <c r="L54" s="90"/>
      <c r="M54" s="90"/>
      <c r="N54" s="90"/>
    </row>
    <row r="55" spans="1:14" ht="12.75">
      <c r="A55" s="120">
        <v>36</v>
      </c>
      <c r="B55" s="183" t="s">
        <v>60</v>
      </c>
      <c r="C55" s="104" t="s">
        <v>61</v>
      </c>
      <c r="D55" s="104" t="s">
        <v>40</v>
      </c>
      <c r="E55" s="105">
        <v>145</v>
      </c>
      <c r="F55" s="108"/>
      <c r="G55" s="108">
        <f>F55*E55</f>
        <v>0</v>
      </c>
      <c r="H55" s="90"/>
      <c r="I55" s="90"/>
      <c r="J55" s="90"/>
      <c r="K55" s="90"/>
      <c r="L55" s="90"/>
      <c r="M55" s="90"/>
      <c r="N55" s="90"/>
    </row>
    <row r="56" spans="1:14" ht="12.75">
      <c r="A56" s="120">
        <v>37</v>
      </c>
      <c r="B56" s="111" t="s">
        <v>62</v>
      </c>
      <c r="C56" s="111" t="s">
        <v>63</v>
      </c>
      <c r="D56" s="111" t="s">
        <v>56</v>
      </c>
      <c r="E56" s="112">
        <f>E55*0.03*2</f>
        <v>8.6999999999999993</v>
      </c>
      <c r="F56" s="117"/>
      <c r="G56" s="108">
        <f t="shared" ref="G56:G60" si="4">F56*E56</f>
        <v>0</v>
      </c>
      <c r="H56" s="90"/>
      <c r="I56" s="90"/>
      <c r="J56" s="90"/>
      <c r="K56" s="90"/>
      <c r="L56" s="90"/>
      <c r="M56" s="90"/>
      <c r="N56" s="90"/>
    </row>
    <row r="57" spans="1:14" ht="13.5" customHeight="1">
      <c r="A57" s="120">
        <v>38</v>
      </c>
      <c r="B57" s="104" t="s">
        <v>66</v>
      </c>
      <c r="C57" s="104" t="s">
        <v>67</v>
      </c>
      <c r="D57" s="104" t="s">
        <v>40</v>
      </c>
      <c r="E57" s="105">
        <f>E55</f>
        <v>145</v>
      </c>
      <c r="F57" s="108"/>
      <c r="G57" s="108">
        <f t="shared" si="4"/>
        <v>0</v>
      </c>
      <c r="H57" s="90"/>
      <c r="I57" s="90"/>
      <c r="J57" s="90"/>
      <c r="K57" s="90"/>
      <c r="L57" s="90"/>
      <c r="M57" s="90"/>
      <c r="N57" s="90"/>
    </row>
    <row r="58" spans="1:14" ht="12.75">
      <c r="A58" s="120">
        <v>39</v>
      </c>
      <c r="B58" s="111" t="s">
        <v>68</v>
      </c>
      <c r="C58" s="111" t="s">
        <v>69</v>
      </c>
      <c r="D58" s="111" t="s">
        <v>56</v>
      </c>
      <c r="E58" s="112">
        <f>E57*0.05*2</f>
        <v>14.5</v>
      </c>
      <c r="F58" s="117"/>
      <c r="G58" s="108">
        <f t="shared" si="4"/>
        <v>0</v>
      </c>
      <c r="H58" s="90"/>
      <c r="I58" s="90"/>
      <c r="J58" s="90"/>
      <c r="K58" s="90"/>
      <c r="L58" s="90"/>
      <c r="M58" s="90"/>
      <c r="N58" s="90"/>
    </row>
    <row r="59" spans="1:14" ht="12.75">
      <c r="A59" s="120">
        <v>40</v>
      </c>
      <c r="B59" s="104">
        <v>564871111</v>
      </c>
      <c r="C59" s="104" t="s">
        <v>230</v>
      </c>
      <c r="D59" s="104" t="s">
        <v>40</v>
      </c>
      <c r="E59" s="105">
        <f>E55</f>
        <v>145</v>
      </c>
      <c r="F59" s="108"/>
      <c r="G59" s="108">
        <f t="shared" si="4"/>
        <v>0</v>
      </c>
      <c r="H59" s="90"/>
      <c r="I59" s="90"/>
      <c r="J59" s="90"/>
      <c r="K59" s="90"/>
      <c r="L59" s="90"/>
      <c r="M59" s="90"/>
      <c r="N59" s="90"/>
    </row>
    <row r="60" spans="1:14" ht="12.75">
      <c r="A60" s="120">
        <v>41</v>
      </c>
      <c r="B60" s="111" t="s">
        <v>74</v>
      </c>
      <c r="C60" s="111" t="s">
        <v>229</v>
      </c>
      <c r="D60" s="111" t="s">
        <v>56</v>
      </c>
      <c r="E60" s="112">
        <f>E59*0.25*2</f>
        <v>72.5</v>
      </c>
      <c r="F60" s="117"/>
      <c r="G60" s="108">
        <f t="shared" si="4"/>
        <v>0</v>
      </c>
      <c r="H60" s="90"/>
      <c r="I60" s="90"/>
      <c r="J60" s="90"/>
      <c r="K60" s="90"/>
      <c r="L60" s="90"/>
      <c r="M60" s="90"/>
      <c r="N60" s="90"/>
    </row>
    <row r="61" spans="1:14" ht="12.75">
      <c r="A61" s="120">
        <v>42</v>
      </c>
      <c r="B61" s="104" t="s">
        <v>72</v>
      </c>
      <c r="C61" s="104" t="s">
        <v>73</v>
      </c>
      <c r="D61" s="104" t="s">
        <v>40</v>
      </c>
      <c r="E61" s="105">
        <f>E55</f>
        <v>145</v>
      </c>
      <c r="F61" s="108"/>
      <c r="G61" s="108">
        <f>F61*E61</f>
        <v>0</v>
      </c>
      <c r="H61" s="90"/>
      <c r="I61" s="90"/>
      <c r="J61" s="90"/>
      <c r="K61" s="90"/>
      <c r="L61" s="90"/>
      <c r="M61" s="90"/>
      <c r="N61" s="90"/>
    </row>
    <row r="62" spans="1:14" ht="12.75">
      <c r="A62" s="120">
        <v>43</v>
      </c>
      <c r="B62" s="111" t="s">
        <v>74</v>
      </c>
      <c r="C62" s="111" t="s">
        <v>228</v>
      </c>
      <c r="D62" s="111" t="s">
        <v>56</v>
      </c>
      <c r="E62" s="112">
        <f>E61*0.1*2</f>
        <v>29</v>
      </c>
      <c r="F62" s="117"/>
      <c r="G62" s="108">
        <f>F62*E62</f>
        <v>0</v>
      </c>
      <c r="H62" s="90"/>
      <c r="I62" s="90"/>
      <c r="J62" s="90"/>
      <c r="K62" s="90"/>
      <c r="L62" s="90"/>
      <c r="M62" s="90"/>
      <c r="N62" s="90"/>
    </row>
    <row r="63" spans="1:14" ht="38.25">
      <c r="A63" s="120">
        <v>44</v>
      </c>
      <c r="B63" s="104" t="s">
        <v>80</v>
      </c>
      <c r="C63" s="104" t="s">
        <v>81</v>
      </c>
      <c r="D63" s="104" t="s">
        <v>40</v>
      </c>
      <c r="E63" s="105">
        <f>E55</f>
        <v>145</v>
      </c>
      <c r="F63" s="108"/>
      <c r="G63" s="108">
        <f t="shared" ref="G63:G66" si="5">F63*E63</f>
        <v>0</v>
      </c>
      <c r="H63" s="90"/>
      <c r="I63" s="90"/>
      <c r="J63" s="90"/>
      <c r="K63" s="90"/>
      <c r="L63" s="90"/>
      <c r="M63" s="90"/>
      <c r="N63" s="90"/>
    </row>
    <row r="64" spans="1:14" ht="25.5">
      <c r="A64" s="321">
        <v>45</v>
      </c>
      <c r="B64" s="111" t="s">
        <v>79</v>
      </c>
      <c r="C64" s="54" t="s">
        <v>853</v>
      </c>
      <c r="D64" s="111" t="s">
        <v>40</v>
      </c>
      <c r="E64" s="112">
        <f>E63*1.02</f>
        <v>147.9</v>
      </c>
      <c r="F64" s="117"/>
      <c r="G64" s="108">
        <f t="shared" si="5"/>
        <v>0</v>
      </c>
      <c r="H64" s="90"/>
      <c r="I64" s="90"/>
      <c r="J64" s="90"/>
      <c r="K64" s="90"/>
      <c r="L64" s="90"/>
      <c r="M64" s="90"/>
      <c r="N64" s="90"/>
    </row>
    <row r="65" spans="1:14" ht="12.75">
      <c r="A65" s="120">
        <v>46</v>
      </c>
      <c r="B65" s="111" t="s">
        <v>108</v>
      </c>
      <c r="C65" s="111" t="s">
        <v>291</v>
      </c>
      <c r="D65" s="111" t="s">
        <v>45</v>
      </c>
      <c r="E65" s="116">
        <f>E64*0.01/2</f>
        <v>0.73950000000000005</v>
      </c>
      <c r="F65" s="117"/>
      <c r="G65" s="108">
        <f t="shared" si="5"/>
        <v>0</v>
      </c>
      <c r="H65" s="90"/>
      <c r="I65" s="90"/>
      <c r="J65" s="90"/>
      <c r="K65" s="90"/>
      <c r="L65" s="90"/>
      <c r="M65" s="90"/>
      <c r="N65" s="90"/>
    </row>
    <row r="66" spans="1:14" ht="26.45" customHeight="1">
      <c r="A66" s="120">
        <v>47</v>
      </c>
      <c r="B66" s="111" t="s">
        <v>125</v>
      </c>
      <c r="C66" s="111" t="s">
        <v>126</v>
      </c>
      <c r="D66" s="111" t="s">
        <v>45</v>
      </c>
      <c r="E66" s="116">
        <f>E65</f>
        <v>0.73950000000000005</v>
      </c>
      <c r="F66" s="117"/>
      <c r="G66" s="108">
        <f t="shared" si="5"/>
        <v>0</v>
      </c>
      <c r="H66" s="90"/>
      <c r="I66" s="90"/>
      <c r="J66" s="90"/>
      <c r="K66" s="90"/>
      <c r="L66" s="90"/>
      <c r="M66" s="90"/>
      <c r="N66" s="90"/>
    </row>
    <row r="67" spans="1:14" ht="12.75">
      <c r="A67" s="120">
        <v>48</v>
      </c>
      <c r="B67" s="111" t="s">
        <v>121</v>
      </c>
      <c r="C67" s="111" t="s">
        <v>289</v>
      </c>
      <c r="D67" s="111" t="s">
        <v>122</v>
      </c>
      <c r="E67" s="116">
        <v>0.8</v>
      </c>
      <c r="F67" s="117"/>
      <c r="G67" s="108">
        <f t="shared" ref="G67" si="6">F67*E67</f>
        <v>0</v>
      </c>
      <c r="H67" s="90"/>
      <c r="I67" s="90"/>
      <c r="J67" s="90"/>
      <c r="K67" s="90"/>
      <c r="L67" s="90"/>
      <c r="M67" s="90"/>
      <c r="N67" s="90"/>
    </row>
    <row r="68" spans="1:14" ht="12.75">
      <c r="A68" s="119">
        <v>49</v>
      </c>
      <c r="B68" s="11" t="s">
        <v>448</v>
      </c>
      <c r="C68" s="11" t="s">
        <v>450</v>
      </c>
      <c r="D68" s="54"/>
      <c r="E68" s="96"/>
      <c r="F68" s="56"/>
      <c r="G68" s="47"/>
      <c r="H68" s="90"/>
      <c r="I68" s="90"/>
      <c r="J68" s="90"/>
      <c r="K68" s="90"/>
      <c r="L68" s="90"/>
      <c r="M68" s="90"/>
      <c r="N68" s="90"/>
    </row>
    <row r="69" spans="1:14" ht="26.45" customHeight="1">
      <c r="A69" s="119">
        <v>50</v>
      </c>
      <c r="B69" s="45" t="s">
        <v>107</v>
      </c>
      <c r="C69" s="45" t="s">
        <v>449</v>
      </c>
      <c r="D69" s="45" t="s">
        <v>40</v>
      </c>
      <c r="E69" s="91">
        <v>17</v>
      </c>
      <c r="F69" s="47"/>
      <c r="G69" s="47">
        <f t="shared" si="3"/>
        <v>0</v>
      </c>
      <c r="H69" s="92">
        <v>662.55</v>
      </c>
      <c r="I69" s="92">
        <v>0</v>
      </c>
      <c r="J69" s="92">
        <v>0</v>
      </c>
      <c r="K69" s="92">
        <v>0</v>
      </c>
      <c r="L69" s="92">
        <v>0</v>
      </c>
      <c r="M69" s="92">
        <v>0</v>
      </c>
      <c r="N69" s="92">
        <v>0</v>
      </c>
    </row>
    <row r="70" spans="1:14" ht="12.75">
      <c r="A70" s="119">
        <v>51</v>
      </c>
      <c r="B70" s="54" t="s">
        <v>70</v>
      </c>
      <c r="C70" s="54" t="s">
        <v>231</v>
      </c>
      <c r="D70" s="54" t="s">
        <v>56</v>
      </c>
      <c r="E70" s="96">
        <f>E69*0.15*2</f>
        <v>5.0999999999999996</v>
      </c>
      <c r="F70" s="56"/>
      <c r="G70" s="47">
        <f t="shared" si="3"/>
        <v>0</v>
      </c>
      <c r="H70" s="92">
        <v>1960.8</v>
      </c>
      <c r="I70" s="92">
        <v>0</v>
      </c>
      <c r="J70" s="92">
        <v>0</v>
      </c>
      <c r="K70" s="92">
        <v>0</v>
      </c>
      <c r="L70" s="92">
        <v>0</v>
      </c>
      <c r="M70" s="92">
        <v>0</v>
      </c>
      <c r="N70" s="92">
        <v>0</v>
      </c>
    </row>
    <row r="71" spans="1:14" ht="12.75">
      <c r="A71" s="119">
        <v>52</v>
      </c>
      <c r="B71" s="11" t="s">
        <v>451</v>
      </c>
      <c r="C71" s="11" t="s">
        <v>232</v>
      </c>
      <c r="D71" s="68"/>
      <c r="E71" s="68"/>
      <c r="F71" s="57"/>
      <c r="G71" s="47"/>
      <c r="H71" s="97">
        <v>3340.8</v>
      </c>
      <c r="I71" s="97">
        <v>0</v>
      </c>
      <c r="J71" s="97">
        <v>0</v>
      </c>
      <c r="K71" s="97">
        <v>0</v>
      </c>
      <c r="L71" s="97">
        <v>0</v>
      </c>
      <c r="M71" s="97">
        <v>0</v>
      </c>
      <c r="N71" s="97">
        <v>0</v>
      </c>
    </row>
    <row r="72" spans="1:14" ht="12.75">
      <c r="A72" s="119">
        <v>53</v>
      </c>
      <c r="B72" s="45">
        <v>564801111</v>
      </c>
      <c r="C72" s="45" t="s">
        <v>61</v>
      </c>
      <c r="D72" s="45" t="s">
        <v>40</v>
      </c>
      <c r="E72" s="91">
        <v>88</v>
      </c>
      <c r="F72" s="47"/>
      <c r="G72" s="47">
        <f t="shared" si="3"/>
        <v>0</v>
      </c>
      <c r="H72" s="97"/>
      <c r="I72" s="97"/>
      <c r="J72" s="97"/>
      <c r="K72" s="97"/>
      <c r="L72" s="97"/>
      <c r="M72" s="97"/>
      <c r="N72" s="97"/>
    </row>
    <row r="73" spans="1:14" ht="12.75">
      <c r="A73" s="119">
        <v>54</v>
      </c>
      <c r="B73" s="54" t="s">
        <v>62</v>
      </c>
      <c r="C73" s="54" t="s">
        <v>63</v>
      </c>
      <c r="D73" s="54" t="s">
        <v>56</v>
      </c>
      <c r="E73" s="96">
        <f>E72*0.03*2</f>
        <v>5.2799999999999994</v>
      </c>
      <c r="F73" s="56"/>
      <c r="G73" s="47">
        <f t="shared" si="3"/>
        <v>0</v>
      </c>
      <c r="H73" s="97"/>
      <c r="I73" s="97"/>
      <c r="J73" s="97"/>
      <c r="K73" s="97"/>
      <c r="L73" s="97"/>
      <c r="M73" s="97"/>
      <c r="N73" s="97"/>
    </row>
    <row r="74" spans="1:14" ht="12.75">
      <c r="A74" s="119">
        <v>55</v>
      </c>
      <c r="B74" s="45" t="s">
        <v>66</v>
      </c>
      <c r="C74" s="45" t="s">
        <v>67</v>
      </c>
      <c r="D74" s="45" t="s">
        <v>40</v>
      </c>
      <c r="E74" s="91">
        <f>E72</f>
        <v>88</v>
      </c>
      <c r="F74" s="47"/>
      <c r="G74" s="47">
        <f t="shared" ref="G74:G79" si="7">F74*E74</f>
        <v>0</v>
      </c>
      <c r="H74" s="97"/>
      <c r="I74" s="97"/>
      <c r="J74" s="97"/>
      <c r="K74" s="97"/>
      <c r="L74" s="97"/>
      <c r="M74" s="97"/>
      <c r="N74" s="97"/>
    </row>
    <row r="75" spans="1:14" ht="12.75">
      <c r="A75" s="119">
        <v>56</v>
      </c>
      <c r="B75" s="54" t="s">
        <v>68</v>
      </c>
      <c r="C75" s="54" t="s">
        <v>69</v>
      </c>
      <c r="D75" s="54" t="s">
        <v>56</v>
      </c>
      <c r="E75" s="96">
        <f>E74*0.05*2</f>
        <v>8.8000000000000007</v>
      </c>
      <c r="F75" s="56"/>
      <c r="G75" s="47">
        <f t="shared" si="7"/>
        <v>0</v>
      </c>
      <c r="H75" s="97"/>
      <c r="I75" s="97"/>
      <c r="J75" s="97"/>
      <c r="K75" s="97"/>
      <c r="L75" s="97"/>
      <c r="M75" s="97"/>
      <c r="N75" s="97"/>
    </row>
    <row r="76" spans="1:14" ht="12.75">
      <c r="A76" s="119">
        <v>57</v>
      </c>
      <c r="B76" s="45">
        <v>564871111</v>
      </c>
      <c r="C76" s="45" t="s">
        <v>230</v>
      </c>
      <c r="D76" s="45" t="s">
        <v>40</v>
      </c>
      <c r="E76" s="91">
        <f>E72</f>
        <v>88</v>
      </c>
      <c r="F76" s="47"/>
      <c r="G76" s="47">
        <f t="shared" si="7"/>
        <v>0</v>
      </c>
      <c r="H76" s="97"/>
      <c r="I76" s="97"/>
      <c r="J76" s="97"/>
      <c r="K76" s="97"/>
      <c r="L76" s="97"/>
      <c r="M76" s="97"/>
      <c r="N76" s="97"/>
    </row>
    <row r="77" spans="1:14" ht="12.75">
      <c r="A77" s="119">
        <v>58</v>
      </c>
      <c r="B77" s="54" t="s">
        <v>74</v>
      </c>
      <c r="C77" s="54" t="s">
        <v>229</v>
      </c>
      <c r="D77" s="54" t="s">
        <v>56</v>
      </c>
      <c r="E77" s="96">
        <f>E76*0.25*2</f>
        <v>44</v>
      </c>
      <c r="F77" s="56"/>
      <c r="G77" s="47">
        <f t="shared" si="7"/>
        <v>0</v>
      </c>
      <c r="H77" s="97"/>
      <c r="I77" s="97"/>
      <c r="J77" s="97"/>
      <c r="K77" s="97"/>
      <c r="L77" s="97"/>
      <c r="M77" s="97"/>
      <c r="N77" s="97"/>
    </row>
    <row r="78" spans="1:14" ht="12.75">
      <c r="A78" s="119">
        <v>59</v>
      </c>
      <c r="B78" s="45" t="s">
        <v>72</v>
      </c>
      <c r="C78" s="45" t="s">
        <v>73</v>
      </c>
      <c r="D78" s="45" t="s">
        <v>40</v>
      </c>
      <c r="E78" s="91">
        <f>E72</f>
        <v>88</v>
      </c>
      <c r="F78" s="47"/>
      <c r="G78" s="47">
        <f t="shared" si="7"/>
        <v>0</v>
      </c>
      <c r="H78" s="92">
        <v>3467.2</v>
      </c>
      <c r="I78" s="92">
        <v>0</v>
      </c>
      <c r="J78" s="92">
        <v>0</v>
      </c>
      <c r="K78" s="92">
        <v>0</v>
      </c>
      <c r="L78" s="92">
        <v>0</v>
      </c>
      <c r="M78" s="92">
        <v>0</v>
      </c>
      <c r="N78" s="92">
        <v>0</v>
      </c>
    </row>
    <row r="79" spans="1:14" s="324" customFormat="1" ht="12.75">
      <c r="A79" s="119">
        <v>60</v>
      </c>
      <c r="B79" s="54" t="s">
        <v>74</v>
      </c>
      <c r="C79" s="54" t="s">
        <v>228</v>
      </c>
      <c r="D79" s="54" t="s">
        <v>56</v>
      </c>
      <c r="E79" s="96">
        <f>E78*0.1*2</f>
        <v>17.600000000000001</v>
      </c>
      <c r="F79" s="56"/>
      <c r="G79" s="47">
        <f t="shared" si="7"/>
        <v>0</v>
      </c>
      <c r="H79" s="323">
        <v>36240</v>
      </c>
      <c r="I79" s="323">
        <v>0</v>
      </c>
      <c r="J79" s="323">
        <v>0</v>
      </c>
      <c r="K79" s="323">
        <v>0</v>
      </c>
      <c r="L79" s="323">
        <v>0</v>
      </c>
      <c r="M79" s="323">
        <v>0</v>
      </c>
      <c r="N79" s="323">
        <v>0</v>
      </c>
    </row>
    <row r="80" spans="1:14" ht="26.45" customHeight="1">
      <c r="A80" s="119">
        <v>61</v>
      </c>
      <c r="B80" s="45" t="s">
        <v>77</v>
      </c>
      <c r="C80" s="45" t="s">
        <v>255</v>
      </c>
      <c r="D80" s="45" t="s">
        <v>40</v>
      </c>
      <c r="E80" s="91">
        <v>90</v>
      </c>
      <c r="F80" s="47"/>
      <c r="G80" s="47">
        <f t="shared" si="3"/>
        <v>0</v>
      </c>
      <c r="H80" s="99"/>
      <c r="I80" s="99"/>
      <c r="J80" s="99"/>
      <c r="K80" s="99"/>
      <c r="L80" s="99"/>
      <c r="M80" s="99"/>
      <c r="N80" s="99"/>
    </row>
    <row r="81" spans="1:15" ht="25.5">
      <c r="A81" s="321">
        <v>62</v>
      </c>
      <c r="B81" s="326" t="s">
        <v>79</v>
      </c>
      <c r="C81" s="190" t="s">
        <v>854</v>
      </c>
      <c r="D81" s="190" t="s">
        <v>40</v>
      </c>
      <c r="E81" s="325">
        <f>90*1.03</f>
        <v>92.7</v>
      </c>
      <c r="F81" s="192"/>
      <c r="G81" s="181">
        <f t="shared" si="3"/>
        <v>0</v>
      </c>
      <c r="H81" s="94"/>
      <c r="I81" s="94"/>
      <c r="J81" s="94"/>
      <c r="K81" s="94"/>
      <c r="L81" s="94"/>
      <c r="M81" s="94"/>
      <c r="N81" s="94"/>
    </row>
    <row r="82" spans="1:15" ht="12.75">
      <c r="A82" s="119">
        <v>63</v>
      </c>
      <c r="B82" s="11" t="s">
        <v>452</v>
      </c>
      <c r="C82" s="14" t="s">
        <v>104</v>
      </c>
      <c r="D82" s="61"/>
      <c r="E82" s="98"/>
      <c r="F82" s="63"/>
      <c r="G82" s="53"/>
      <c r="H82" s="99"/>
      <c r="I82" s="99"/>
      <c r="J82" s="99"/>
      <c r="K82" s="99"/>
      <c r="L82" s="99"/>
      <c r="M82" s="99"/>
      <c r="N82" s="99"/>
      <c r="O82" s="102"/>
    </row>
    <row r="83" spans="1:15" ht="26.45" customHeight="1">
      <c r="A83" s="119">
        <v>64</v>
      </c>
      <c r="B83" s="65" t="s">
        <v>107</v>
      </c>
      <c r="C83" s="65" t="s">
        <v>105</v>
      </c>
      <c r="D83" s="65" t="s">
        <v>106</v>
      </c>
      <c r="E83" s="100">
        <v>46</v>
      </c>
      <c r="F83" s="53"/>
      <c r="G83" s="53">
        <f>F83*E83</f>
        <v>0</v>
      </c>
      <c r="H83" s="99"/>
      <c r="I83" s="99"/>
      <c r="J83" s="99"/>
      <c r="K83" s="99"/>
      <c r="L83" s="99"/>
      <c r="M83" s="99"/>
      <c r="N83" s="99"/>
    </row>
    <row r="84" spans="1:15" ht="25.5">
      <c r="A84" s="119">
        <v>65</v>
      </c>
      <c r="B84" s="61" t="s">
        <v>108</v>
      </c>
      <c r="C84" s="61" t="s">
        <v>855</v>
      </c>
      <c r="D84" s="61" t="s">
        <v>106</v>
      </c>
      <c r="E84" s="98">
        <f>46*1.05</f>
        <v>48.300000000000004</v>
      </c>
      <c r="F84" s="60"/>
      <c r="G84" s="53">
        <f>F84*E84</f>
        <v>0</v>
      </c>
      <c r="H84" s="99"/>
      <c r="I84" s="99"/>
      <c r="J84" s="99"/>
      <c r="K84" s="99"/>
      <c r="L84" s="99"/>
      <c r="M84" s="99"/>
      <c r="N84" s="99"/>
    </row>
    <row r="85" spans="1:15" ht="12.75">
      <c r="A85" s="119">
        <v>66</v>
      </c>
      <c r="B85" s="11" t="s">
        <v>454</v>
      </c>
      <c r="C85" s="14" t="s">
        <v>248</v>
      </c>
      <c r="D85" s="61"/>
      <c r="E85" s="98"/>
      <c r="F85" s="63"/>
      <c r="G85" s="53"/>
      <c r="H85" s="99"/>
      <c r="I85" s="99"/>
      <c r="J85" s="99"/>
      <c r="K85" s="99"/>
      <c r="L85" s="99"/>
      <c r="M85" s="99"/>
      <c r="N85" s="99"/>
    </row>
    <row r="86" spans="1:15" ht="38.25">
      <c r="A86" s="119">
        <v>67</v>
      </c>
      <c r="B86" s="45" t="s">
        <v>250</v>
      </c>
      <c r="C86" s="45" t="s">
        <v>251</v>
      </c>
      <c r="D86" s="45" t="s">
        <v>252</v>
      </c>
      <c r="E86" s="91">
        <v>195</v>
      </c>
      <c r="F86" s="47"/>
      <c r="G86" s="47">
        <f>F86*E86</f>
        <v>0</v>
      </c>
      <c r="H86" s="99"/>
      <c r="I86" s="99"/>
      <c r="J86" s="99"/>
      <c r="K86" s="99"/>
      <c r="L86" s="99"/>
      <c r="M86" s="99"/>
      <c r="N86" s="99"/>
    </row>
    <row r="87" spans="1:15" ht="26.45" customHeight="1">
      <c r="A87" s="119">
        <v>68</v>
      </c>
      <c r="B87" s="61" t="s">
        <v>249</v>
      </c>
      <c r="C87" s="113" t="s">
        <v>856</v>
      </c>
      <c r="D87" s="61" t="s">
        <v>109</v>
      </c>
      <c r="E87" s="98">
        <f>195*1.05</f>
        <v>204.75</v>
      </c>
      <c r="F87" s="63"/>
      <c r="G87" s="53">
        <f>F87*E87</f>
        <v>0</v>
      </c>
      <c r="H87" s="90">
        <v>50188.35</v>
      </c>
      <c r="I87" s="90">
        <v>0</v>
      </c>
      <c r="J87" s="90">
        <v>0</v>
      </c>
      <c r="K87" s="90">
        <v>0</v>
      </c>
      <c r="L87" s="90">
        <v>0</v>
      </c>
      <c r="M87" s="90">
        <v>0</v>
      </c>
      <c r="N87" s="90">
        <v>0</v>
      </c>
    </row>
    <row r="88" spans="1:15" ht="12.75">
      <c r="A88" s="119">
        <v>69</v>
      </c>
      <c r="B88" s="45" t="s">
        <v>253</v>
      </c>
      <c r="C88" s="45" t="s">
        <v>254</v>
      </c>
      <c r="D88" s="45" t="s">
        <v>45</v>
      </c>
      <c r="E88" s="91">
        <v>25.7</v>
      </c>
      <c r="F88" s="47"/>
      <c r="G88" s="47">
        <f>F88*E88</f>
        <v>0</v>
      </c>
      <c r="H88" s="92">
        <v>0</v>
      </c>
      <c r="I88" s="92">
        <v>0</v>
      </c>
      <c r="J88" s="92">
        <v>0</v>
      </c>
      <c r="K88" s="92">
        <v>0</v>
      </c>
      <c r="L88" s="92">
        <v>0</v>
      </c>
      <c r="M88" s="92">
        <v>0</v>
      </c>
      <c r="N88" s="92">
        <v>0</v>
      </c>
    </row>
    <row r="89" spans="1:15" ht="12.75">
      <c r="A89" s="119"/>
      <c r="B89" s="363" t="s">
        <v>82</v>
      </c>
      <c r="C89" s="363" t="s">
        <v>83</v>
      </c>
      <c r="D89" s="363"/>
      <c r="E89" s="368"/>
      <c r="F89" s="367"/>
      <c r="G89" s="367">
        <f>SUM(G90:G92)</f>
        <v>0</v>
      </c>
      <c r="H89" s="92">
        <v>0</v>
      </c>
      <c r="I89" s="92">
        <v>0</v>
      </c>
      <c r="J89" s="92">
        <v>0</v>
      </c>
      <c r="K89" s="92">
        <v>0</v>
      </c>
      <c r="L89" s="92">
        <v>0</v>
      </c>
      <c r="M89" s="92">
        <v>0</v>
      </c>
      <c r="N89" s="92">
        <v>0</v>
      </c>
    </row>
    <row r="90" spans="1:15" ht="25.5">
      <c r="A90" s="119">
        <v>71</v>
      </c>
      <c r="B90" s="45" t="s">
        <v>84</v>
      </c>
      <c r="C90" s="45" t="s">
        <v>85</v>
      </c>
      <c r="D90" s="45" t="s">
        <v>56</v>
      </c>
      <c r="E90" s="91">
        <v>404</v>
      </c>
      <c r="F90" s="47"/>
      <c r="G90" s="47">
        <f>F90*E90</f>
        <v>0</v>
      </c>
      <c r="H90" s="92">
        <v>26514.6</v>
      </c>
      <c r="I90" s="92">
        <v>0</v>
      </c>
      <c r="J90" s="92">
        <v>0</v>
      </c>
      <c r="K90" s="92">
        <v>0</v>
      </c>
      <c r="L90" s="92">
        <v>0</v>
      </c>
      <c r="M90" s="92">
        <v>0</v>
      </c>
      <c r="N90" s="92">
        <v>0</v>
      </c>
    </row>
    <row r="91" spans="1:15" ht="26.45" customHeight="1">
      <c r="A91" s="119">
        <v>72</v>
      </c>
      <c r="B91" s="45" t="s">
        <v>86</v>
      </c>
      <c r="C91" s="45" t="s">
        <v>87</v>
      </c>
      <c r="D91" s="45" t="s">
        <v>56</v>
      </c>
      <c r="E91" s="91">
        <v>404</v>
      </c>
      <c r="F91" s="47"/>
      <c r="G91" s="47">
        <f>F91*E91</f>
        <v>0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</row>
    <row r="92" spans="1:15" ht="25.5">
      <c r="A92" s="119">
        <v>73</v>
      </c>
      <c r="B92" s="45" t="s">
        <v>90</v>
      </c>
      <c r="C92" s="45" t="s">
        <v>55</v>
      </c>
      <c r="D92" s="45" t="s">
        <v>56</v>
      </c>
      <c r="E92" s="91">
        <v>404</v>
      </c>
      <c r="F92" s="47"/>
      <c r="G92" s="47">
        <f>F92*E92</f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  <c r="M92" s="92">
        <v>0</v>
      </c>
      <c r="N92" s="92">
        <v>0</v>
      </c>
    </row>
    <row r="93" spans="1:15" ht="26.45" customHeight="1">
      <c r="A93" s="119"/>
      <c r="B93" s="363" t="s">
        <v>91</v>
      </c>
      <c r="C93" s="363" t="s">
        <v>92</v>
      </c>
      <c r="D93" s="363"/>
      <c r="E93" s="368"/>
      <c r="F93" s="367"/>
      <c r="G93" s="367">
        <f>G94+G95</f>
        <v>0</v>
      </c>
      <c r="H93" s="101">
        <v>376378.02500000002</v>
      </c>
      <c r="I93" s="101">
        <v>0</v>
      </c>
      <c r="J93" s="101">
        <v>0</v>
      </c>
      <c r="K93" s="101">
        <v>0</v>
      </c>
      <c r="L93" s="101">
        <v>0</v>
      </c>
      <c r="M93" s="101">
        <v>0</v>
      </c>
      <c r="N93" s="101">
        <v>0</v>
      </c>
    </row>
    <row r="94" spans="1:15" ht="25.5">
      <c r="A94" s="120">
        <v>74</v>
      </c>
      <c r="B94" s="104" t="s">
        <v>93</v>
      </c>
      <c r="C94" s="104" t="s">
        <v>94</v>
      </c>
      <c r="D94" s="104" t="s">
        <v>56</v>
      </c>
      <c r="E94" s="105">
        <v>766</v>
      </c>
      <c r="F94" s="108"/>
      <c r="G94" s="108">
        <f>F94*E94</f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  <c r="M94" s="92">
        <v>0</v>
      </c>
      <c r="N94" s="92">
        <v>0</v>
      </c>
    </row>
    <row r="95" spans="1:15" ht="12.75">
      <c r="A95" s="378">
        <v>75</v>
      </c>
      <c r="B95" s="104" t="s">
        <v>107</v>
      </c>
      <c r="C95" s="104" t="s">
        <v>843</v>
      </c>
      <c r="D95" s="104" t="s">
        <v>311</v>
      </c>
      <c r="E95" s="107">
        <v>1</v>
      </c>
      <c r="F95" s="108"/>
      <c r="G95" s="108">
        <f>F95*E95</f>
        <v>0</v>
      </c>
      <c r="H95" s="92"/>
      <c r="I95" s="92"/>
      <c r="J95" s="92"/>
      <c r="K95" s="92"/>
      <c r="L95" s="92"/>
      <c r="M95" s="92"/>
      <c r="N95" s="92"/>
    </row>
    <row r="96" spans="1:15" ht="12.75">
      <c r="A96" s="119">
        <v>76</v>
      </c>
      <c r="B96" s="369"/>
      <c r="C96" s="363" t="s">
        <v>288</v>
      </c>
      <c r="D96" s="363"/>
      <c r="E96" s="368"/>
      <c r="F96" s="367"/>
      <c r="G96" s="367">
        <f>SUM(G97:G149)</f>
        <v>0</v>
      </c>
      <c r="H96" s="92">
        <v>0</v>
      </c>
      <c r="I96" s="92">
        <v>0</v>
      </c>
      <c r="J96" s="92">
        <v>0</v>
      </c>
      <c r="K96" s="92">
        <v>0</v>
      </c>
      <c r="L96" s="92">
        <v>0</v>
      </c>
      <c r="M96" s="92">
        <v>0</v>
      </c>
      <c r="N96" s="92">
        <v>0</v>
      </c>
    </row>
    <row r="97" spans="1:14" ht="25.5">
      <c r="A97" s="119">
        <v>77</v>
      </c>
      <c r="B97" s="45" t="s">
        <v>146</v>
      </c>
      <c r="C97" s="45" t="s">
        <v>147</v>
      </c>
      <c r="D97" s="45" t="s">
        <v>40</v>
      </c>
      <c r="E97" s="91">
        <v>186</v>
      </c>
      <c r="F97" s="47"/>
      <c r="G97" s="47">
        <f t="shared" ref="G97:G149" si="8">F97*E97</f>
        <v>0</v>
      </c>
      <c r="H97" s="92">
        <v>0</v>
      </c>
      <c r="I97" s="92">
        <v>0</v>
      </c>
      <c r="J97" s="92">
        <v>0</v>
      </c>
      <c r="K97" s="92">
        <v>0</v>
      </c>
      <c r="L97" s="92">
        <v>0</v>
      </c>
      <c r="M97" s="92">
        <v>0</v>
      </c>
      <c r="N97" s="92">
        <v>0</v>
      </c>
    </row>
    <row r="98" spans="1:14" ht="12.75">
      <c r="A98" s="119">
        <v>78</v>
      </c>
      <c r="B98" s="45" t="s">
        <v>148</v>
      </c>
      <c r="C98" s="45" t="s">
        <v>149</v>
      </c>
      <c r="D98" s="45" t="s">
        <v>40</v>
      </c>
      <c r="E98" s="91">
        <f>E97</f>
        <v>186</v>
      </c>
      <c r="F98" s="47"/>
      <c r="G98" s="47">
        <f t="shared" si="8"/>
        <v>0</v>
      </c>
      <c r="H98" s="92">
        <v>0</v>
      </c>
      <c r="I98" s="92">
        <v>0</v>
      </c>
      <c r="J98" s="92">
        <v>0</v>
      </c>
      <c r="K98" s="92">
        <v>0</v>
      </c>
      <c r="L98" s="92">
        <v>0</v>
      </c>
      <c r="M98" s="92">
        <v>0</v>
      </c>
      <c r="N98" s="92">
        <v>0</v>
      </c>
    </row>
    <row r="99" spans="1:14" ht="12.75">
      <c r="A99" s="119">
        <v>79</v>
      </c>
      <c r="B99" s="45" t="s">
        <v>154</v>
      </c>
      <c r="C99" s="45" t="s">
        <v>155</v>
      </c>
      <c r="D99" s="45" t="s">
        <v>40</v>
      </c>
      <c r="E99" s="91">
        <f>E97</f>
        <v>186</v>
      </c>
      <c r="F99" s="47"/>
      <c r="G99" s="47">
        <f t="shared" si="8"/>
        <v>0</v>
      </c>
      <c r="H99" s="97">
        <v>28417.216</v>
      </c>
      <c r="I99" s="97">
        <v>0</v>
      </c>
      <c r="J99" s="97">
        <v>0</v>
      </c>
      <c r="K99" s="97">
        <v>0</v>
      </c>
      <c r="L99" s="97">
        <v>0</v>
      </c>
      <c r="M99" s="97">
        <v>0</v>
      </c>
      <c r="N99" s="97">
        <v>0</v>
      </c>
    </row>
    <row r="100" spans="1:14" ht="25.5">
      <c r="A100" s="119">
        <v>80</v>
      </c>
      <c r="B100" s="45" t="s">
        <v>123</v>
      </c>
      <c r="C100" s="45" t="s">
        <v>124</v>
      </c>
      <c r="D100" s="45" t="s">
        <v>40</v>
      </c>
      <c r="E100" s="91">
        <f>E97</f>
        <v>186</v>
      </c>
      <c r="F100" s="47"/>
      <c r="G100" s="47">
        <f t="shared" si="8"/>
        <v>0</v>
      </c>
      <c r="H100" s="92">
        <v>0</v>
      </c>
      <c r="I100" s="92">
        <v>0</v>
      </c>
      <c r="J100" s="92">
        <v>0</v>
      </c>
      <c r="K100" s="92">
        <v>0</v>
      </c>
      <c r="L100" s="92">
        <v>0</v>
      </c>
      <c r="M100" s="92">
        <v>0</v>
      </c>
      <c r="N100" s="92">
        <v>0</v>
      </c>
    </row>
    <row r="101" spans="1:14" ht="12.75">
      <c r="A101" s="119">
        <v>81</v>
      </c>
      <c r="B101" s="54" t="s">
        <v>125</v>
      </c>
      <c r="C101" s="54" t="s">
        <v>126</v>
      </c>
      <c r="D101" s="54" t="s">
        <v>45</v>
      </c>
      <c r="E101" s="96">
        <f>E100*0.05</f>
        <v>9.3000000000000007</v>
      </c>
      <c r="F101" s="56"/>
      <c r="G101" s="47">
        <f t="shared" si="8"/>
        <v>0</v>
      </c>
      <c r="H101" s="92">
        <v>0</v>
      </c>
      <c r="I101" s="92">
        <v>0</v>
      </c>
      <c r="J101" s="92">
        <v>0</v>
      </c>
      <c r="K101" s="92">
        <v>0</v>
      </c>
      <c r="L101" s="92">
        <v>0</v>
      </c>
      <c r="M101" s="92">
        <v>0</v>
      </c>
      <c r="N101" s="92">
        <v>0</v>
      </c>
    </row>
    <row r="102" spans="1:14" ht="25.5">
      <c r="A102" s="119">
        <v>82</v>
      </c>
      <c r="B102" s="45" t="s">
        <v>127</v>
      </c>
      <c r="C102" s="45" t="s">
        <v>128</v>
      </c>
      <c r="D102" s="45" t="s">
        <v>109</v>
      </c>
      <c r="E102" s="91">
        <v>17</v>
      </c>
      <c r="F102" s="47"/>
      <c r="G102" s="47">
        <f t="shared" si="8"/>
        <v>0</v>
      </c>
      <c r="H102" s="92">
        <v>0</v>
      </c>
      <c r="I102" s="92">
        <v>0</v>
      </c>
      <c r="J102" s="92">
        <v>0</v>
      </c>
      <c r="K102" s="92">
        <v>0</v>
      </c>
      <c r="L102" s="92">
        <v>0</v>
      </c>
      <c r="M102" s="92">
        <v>0</v>
      </c>
      <c r="N102" s="92">
        <v>0</v>
      </c>
    </row>
    <row r="103" spans="1:14" ht="25.5">
      <c r="A103" s="119">
        <v>83</v>
      </c>
      <c r="B103" s="45" t="s">
        <v>129</v>
      </c>
      <c r="C103" s="45" t="s">
        <v>130</v>
      </c>
      <c r="D103" s="45" t="s">
        <v>109</v>
      </c>
      <c r="E103" s="91">
        <v>3</v>
      </c>
      <c r="F103" s="47"/>
      <c r="G103" s="47">
        <f t="shared" si="8"/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  <c r="M103" s="92">
        <v>0</v>
      </c>
      <c r="N103" s="92">
        <v>0</v>
      </c>
    </row>
    <row r="104" spans="1:14" ht="25.5">
      <c r="A104" s="119">
        <v>84</v>
      </c>
      <c r="B104" s="45" t="s">
        <v>131</v>
      </c>
      <c r="C104" s="45" t="s">
        <v>132</v>
      </c>
      <c r="D104" s="45" t="s">
        <v>109</v>
      </c>
      <c r="E104" s="91">
        <f>E109</f>
        <v>16</v>
      </c>
      <c r="F104" s="47"/>
      <c r="G104" s="47">
        <f t="shared" si="8"/>
        <v>0</v>
      </c>
      <c r="H104" s="97">
        <v>58.56</v>
      </c>
      <c r="I104" s="97">
        <v>0</v>
      </c>
      <c r="J104" s="97">
        <v>0</v>
      </c>
      <c r="K104" s="97">
        <v>0</v>
      </c>
      <c r="L104" s="97">
        <v>0</v>
      </c>
      <c r="M104" s="97">
        <v>0</v>
      </c>
      <c r="N104" s="97">
        <v>0</v>
      </c>
    </row>
    <row r="105" spans="1:14" ht="25.5">
      <c r="A105" s="119">
        <v>85</v>
      </c>
      <c r="B105" s="45" t="s">
        <v>133</v>
      </c>
      <c r="C105" s="45" t="s">
        <v>134</v>
      </c>
      <c r="D105" s="45" t="s">
        <v>109</v>
      </c>
      <c r="E105" s="91">
        <v>1</v>
      </c>
      <c r="F105" s="47"/>
      <c r="G105" s="47">
        <f t="shared" si="8"/>
        <v>0</v>
      </c>
      <c r="H105" s="92">
        <v>22.05</v>
      </c>
      <c r="I105" s="92">
        <v>0</v>
      </c>
      <c r="J105" s="92">
        <v>0</v>
      </c>
      <c r="K105" s="92">
        <v>0</v>
      </c>
      <c r="L105" s="92">
        <v>0</v>
      </c>
      <c r="M105" s="92">
        <v>0</v>
      </c>
      <c r="N105" s="92">
        <v>0</v>
      </c>
    </row>
    <row r="106" spans="1:14" ht="12.75">
      <c r="A106" s="119">
        <v>86</v>
      </c>
      <c r="B106" s="54" t="s">
        <v>125</v>
      </c>
      <c r="C106" s="54" t="s">
        <v>126</v>
      </c>
      <c r="D106" s="54" t="s">
        <v>45</v>
      </c>
      <c r="E106" s="96">
        <v>0.03</v>
      </c>
      <c r="F106" s="56"/>
      <c r="G106" s="47">
        <f t="shared" si="8"/>
        <v>0</v>
      </c>
      <c r="H106" s="97">
        <v>945</v>
      </c>
      <c r="I106" s="97">
        <v>0</v>
      </c>
      <c r="J106" s="97">
        <v>0</v>
      </c>
      <c r="K106" s="97">
        <v>0</v>
      </c>
      <c r="L106" s="97">
        <v>0</v>
      </c>
      <c r="M106" s="97">
        <v>0</v>
      </c>
      <c r="N106" s="97">
        <v>0</v>
      </c>
    </row>
    <row r="107" spans="1:14" ht="25.5">
      <c r="A107" s="119">
        <v>87</v>
      </c>
      <c r="B107" s="45" t="s">
        <v>158</v>
      </c>
      <c r="C107" s="45" t="s">
        <v>159</v>
      </c>
      <c r="D107" s="45" t="s">
        <v>109</v>
      </c>
      <c r="E107" s="91">
        <f>SUM(E108:E112)</f>
        <v>33</v>
      </c>
      <c r="F107" s="47"/>
      <c r="G107" s="47">
        <f t="shared" si="8"/>
        <v>0</v>
      </c>
      <c r="H107" s="97">
        <v>525</v>
      </c>
      <c r="I107" s="97">
        <v>0</v>
      </c>
      <c r="J107" s="97">
        <v>0</v>
      </c>
      <c r="K107" s="97">
        <v>0</v>
      </c>
      <c r="L107" s="97">
        <v>0</v>
      </c>
      <c r="M107" s="97">
        <v>0</v>
      </c>
      <c r="N107" s="97">
        <v>0</v>
      </c>
    </row>
    <row r="108" spans="1:14" ht="12.75">
      <c r="A108" s="119">
        <v>88</v>
      </c>
      <c r="B108" s="54" t="s">
        <v>160</v>
      </c>
      <c r="C108" s="54" t="s">
        <v>161</v>
      </c>
      <c r="D108" s="54" t="s">
        <v>139</v>
      </c>
      <c r="E108" s="96">
        <v>7</v>
      </c>
      <c r="F108" s="56"/>
      <c r="G108" s="47">
        <f t="shared" si="8"/>
        <v>0</v>
      </c>
      <c r="H108" s="97">
        <v>1175</v>
      </c>
      <c r="I108" s="97">
        <v>0</v>
      </c>
      <c r="J108" s="97">
        <v>0</v>
      </c>
      <c r="K108" s="97">
        <v>0</v>
      </c>
      <c r="L108" s="97">
        <v>0</v>
      </c>
      <c r="M108" s="97">
        <v>0</v>
      </c>
      <c r="N108" s="97">
        <v>0</v>
      </c>
    </row>
    <row r="109" spans="1:14" ht="12.75">
      <c r="A109" s="119">
        <v>89</v>
      </c>
      <c r="B109" s="54" t="s">
        <v>162</v>
      </c>
      <c r="C109" s="54" t="s">
        <v>233</v>
      </c>
      <c r="D109" s="54" t="s">
        <v>139</v>
      </c>
      <c r="E109" s="96">
        <v>16</v>
      </c>
      <c r="F109" s="56"/>
      <c r="G109" s="47">
        <f t="shared" si="8"/>
        <v>0</v>
      </c>
      <c r="H109" s="97">
        <v>5200</v>
      </c>
      <c r="I109" s="97">
        <v>0</v>
      </c>
      <c r="J109" s="97">
        <v>0</v>
      </c>
      <c r="K109" s="97">
        <v>0</v>
      </c>
      <c r="L109" s="97">
        <v>0</v>
      </c>
      <c r="M109" s="97">
        <v>0</v>
      </c>
      <c r="N109" s="97">
        <v>0</v>
      </c>
    </row>
    <row r="110" spans="1:14" ht="13.5">
      <c r="A110" s="119">
        <v>90</v>
      </c>
      <c r="B110" s="54" t="s">
        <v>234</v>
      </c>
      <c r="C110" s="54" t="s">
        <v>476</v>
      </c>
      <c r="D110" s="54" t="s">
        <v>139</v>
      </c>
      <c r="E110" s="96">
        <v>2</v>
      </c>
      <c r="F110" s="56"/>
      <c r="G110" s="47">
        <f t="shared" si="8"/>
        <v>0</v>
      </c>
      <c r="H110" s="97"/>
      <c r="I110" s="97"/>
      <c r="J110" s="97"/>
      <c r="K110" s="97"/>
      <c r="L110" s="97"/>
      <c r="M110" s="97"/>
      <c r="N110" s="97"/>
    </row>
    <row r="111" spans="1:14" ht="12.75">
      <c r="A111" s="119">
        <v>91</v>
      </c>
      <c r="B111" s="54" t="s">
        <v>166</v>
      </c>
      <c r="C111" s="54" t="s">
        <v>167</v>
      </c>
      <c r="D111" s="54" t="s">
        <v>139</v>
      </c>
      <c r="E111" s="96">
        <v>7</v>
      </c>
      <c r="F111" s="56"/>
      <c r="G111" s="47">
        <f t="shared" si="8"/>
        <v>0</v>
      </c>
      <c r="H111" s="92">
        <v>6.3</v>
      </c>
      <c r="I111" s="92">
        <v>0</v>
      </c>
      <c r="J111" s="92">
        <v>0</v>
      </c>
      <c r="K111" s="92">
        <v>0</v>
      </c>
      <c r="L111" s="92">
        <v>0</v>
      </c>
      <c r="M111" s="92">
        <v>0</v>
      </c>
      <c r="N111" s="92">
        <v>0</v>
      </c>
    </row>
    <row r="112" spans="1:14" ht="13.5">
      <c r="A112" s="119">
        <v>92</v>
      </c>
      <c r="B112" s="54" t="s">
        <v>235</v>
      </c>
      <c r="C112" s="54" t="s">
        <v>477</v>
      </c>
      <c r="D112" s="54" t="s">
        <v>139</v>
      </c>
      <c r="E112" s="96">
        <v>1</v>
      </c>
      <c r="F112" s="56"/>
      <c r="G112" s="47">
        <f>F112*E112</f>
        <v>0</v>
      </c>
      <c r="H112" s="97">
        <v>5000</v>
      </c>
      <c r="I112" s="97">
        <v>0</v>
      </c>
      <c r="J112" s="97">
        <v>0</v>
      </c>
      <c r="K112" s="97">
        <v>0</v>
      </c>
      <c r="L112" s="97">
        <v>0</v>
      </c>
      <c r="M112" s="97">
        <v>0</v>
      </c>
      <c r="N112" s="97">
        <v>0</v>
      </c>
    </row>
    <row r="113" spans="1:14" ht="25.5">
      <c r="A113" s="119">
        <v>93</v>
      </c>
      <c r="B113" s="45" t="s">
        <v>168</v>
      </c>
      <c r="C113" s="45" t="s">
        <v>169</v>
      </c>
      <c r="D113" s="45" t="s">
        <v>109</v>
      </c>
      <c r="E113" s="91">
        <v>3</v>
      </c>
      <c r="F113" s="47"/>
      <c r="G113" s="47">
        <f t="shared" si="8"/>
        <v>0</v>
      </c>
      <c r="H113" s="97">
        <v>1250</v>
      </c>
      <c r="I113" s="97">
        <v>0</v>
      </c>
      <c r="J113" s="97">
        <v>0</v>
      </c>
      <c r="K113" s="97">
        <v>0</v>
      </c>
      <c r="L113" s="97">
        <v>0</v>
      </c>
      <c r="M113" s="97">
        <v>0</v>
      </c>
      <c r="N113" s="97">
        <v>0</v>
      </c>
    </row>
    <row r="114" spans="1:14" ht="12.75">
      <c r="A114" s="321">
        <v>94</v>
      </c>
      <c r="B114" s="54" t="s">
        <v>170</v>
      </c>
      <c r="C114" s="54" t="s">
        <v>171</v>
      </c>
      <c r="D114" s="54" t="s">
        <v>139</v>
      </c>
      <c r="E114" s="96">
        <v>1</v>
      </c>
      <c r="F114" s="56"/>
      <c r="G114" s="47">
        <f t="shared" si="8"/>
        <v>0</v>
      </c>
      <c r="H114" s="92">
        <v>7.56</v>
      </c>
      <c r="I114" s="92">
        <v>0</v>
      </c>
      <c r="J114" s="92">
        <v>0</v>
      </c>
      <c r="K114" s="92">
        <v>0</v>
      </c>
      <c r="L114" s="92">
        <v>0</v>
      </c>
      <c r="M114" s="92">
        <v>0</v>
      </c>
      <c r="N114" s="92">
        <v>0</v>
      </c>
    </row>
    <row r="115" spans="1:14" ht="25.5">
      <c r="A115" s="119">
        <v>95</v>
      </c>
      <c r="B115" s="54" t="s">
        <v>172</v>
      </c>
      <c r="C115" s="54" t="s">
        <v>173</v>
      </c>
      <c r="D115" s="54" t="s">
        <v>139</v>
      </c>
      <c r="E115" s="96">
        <v>1</v>
      </c>
      <c r="F115" s="56"/>
      <c r="G115" s="47">
        <f t="shared" si="8"/>
        <v>0</v>
      </c>
      <c r="H115" s="97">
        <v>19000</v>
      </c>
      <c r="I115" s="97">
        <v>0</v>
      </c>
      <c r="J115" s="97">
        <v>0</v>
      </c>
      <c r="K115" s="97">
        <v>0</v>
      </c>
      <c r="L115" s="97">
        <v>0</v>
      </c>
      <c r="M115" s="97">
        <v>0</v>
      </c>
      <c r="N115" s="97">
        <v>0</v>
      </c>
    </row>
    <row r="116" spans="1:14" ht="25.5">
      <c r="A116" s="119">
        <v>96</v>
      </c>
      <c r="B116" s="45" t="s">
        <v>177</v>
      </c>
      <c r="C116" s="45" t="s">
        <v>178</v>
      </c>
      <c r="D116" s="45" t="s">
        <v>109</v>
      </c>
      <c r="E116" s="91">
        <f>E117</f>
        <v>1</v>
      </c>
      <c r="F116" s="47"/>
      <c r="G116" s="47">
        <f t="shared" si="8"/>
        <v>0</v>
      </c>
      <c r="H116" s="92">
        <v>23.62</v>
      </c>
      <c r="I116" s="92">
        <v>0</v>
      </c>
      <c r="J116" s="92">
        <v>0</v>
      </c>
      <c r="K116" s="92">
        <v>0</v>
      </c>
      <c r="L116" s="92">
        <v>0</v>
      </c>
      <c r="M116" s="92">
        <v>0</v>
      </c>
      <c r="N116" s="92">
        <v>0</v>
      </c>
    </row>
    <row r="117" spans="1:14" ht="12.75">
      <c r="A117" s="119">
        <v>97</v>
      </c>
      <c r="B117" s="54" t="s">
        <v>247</v>
      </c>
      <c r="C117" s="54" t="s">
        <v>246</v>
      </c>
      <c r="D117" s="54" t="s">
        <v>139</v>
      </c>
      <c r="E117" s="96">
        <v>1</v>
      </c>
      <c r="F117" s="56"/>
      <c r="G117" s="47">
        <f t="shared" si="8"/>
        <v>0</v>
      </c>
      <c r="H117" s="97">
        <v>792</v>
      </c>
      <c r="I117" s="97">
        <v>0</v>
      </c>
      <c r="J117" s="97">
        <v>0</v>
      </c>
      <c r="K117" s="97">
        <v>0</v>
      </c>
      <c r="L117" s="97">
        <v>0</v>
      </c>
      <c r="M117" s="97">
        <v>0</v>
      </c>
      <c r="N117" s="97">
        <v>0</v>
      </c>
    </row>
    <row r="118" spans="1:14" ht="12.75">
      <c r="A118" s="119">
        <v>98</v>
      </c>
      <c r="B118" s="45" t="s">
        <v>181</v>
      </c>
      <c r="C118" s="45" t="s">
        <v>182</v>
      </c>
      <c r="D118" s="45" t="s">
        <v>109</v>
      </c>
      <c r="E118" s="91">
        <v>1</v>
      </c>
      <c r="F118" s="47"/>
      <c r="G118" s="47">
        <f t="shared" si="8"/>
        <v>0</v>
      </c>
      <c r="H118" s="97">
        <v>1400</v>
      </c>
      <c r="I118" s="97">
        <v>0</v>
      </c>
      <c r="J118" s="97">
        <v>0</v>
      </c>
      <c r="K118" s="97">
        <v>0</v>
      </c>
      <c r="L118" s="97">
        <v>0</v>
      </c>
      <c r="M118" s="97">
        <v>0</v>
      </c>
      <c r="N118" s="97">
        <v>0</v>
      </c>
    </row>
    <row r="119" spans="1:14" ht="12.75">
      <c r="A119" s="119">
        <v>99</v>
      </c>
      <c r="B119" s="54" t="s">
        <v>183</v>
      </c>
      <c r="C119" s="54" t="s">
        <v>184</v>
      </c>
      <c r="D119" s="54" t="s">
        <v>139</v>
      </c>
      <c r="E119" s="96">
        <v>3</v>
      </c>
      <c r="F119" s="56"/>
      <c r="G119" s="47">
        <f t="shared" si="8"/>
        <v>0</v>
      </c>
      <c r="H119" s="92">
        <v>0</v>
      </c>
      <c r="I119" s="92">
        <v>0</v>
      </c>
      <c r="J119" s="92">
        <v>0</v>
      </c>
      <c r="K119" s="92">
        <v>0</v>
      </c>
      <c r="L119" s="92">
        <v>0</v>
      </c>
      <c r="M119" s="92">
        <v>0</v>
      </c>
      <c r="N119" s="92">
        <v>0</v>
      </c>
    </row>
    <row r="120" spans="1:14" ht="12.75">
      <c r="A120" s="119">
        <v>100</v>
      </c>
      <c r="B120" s="54" t="s">
        <v>185</v>
      </c>
      <c r="C120" s="54" t="s">
        <v>186</v>
      </c>
      <c r="D120" s="54" t="s">
        <v>139</v>
      </c>
      <c r="E120" s="96">
        <v>1</v>
      </c>
      <c r="F120" s="56"/>
      <c r="G120" s="47">
        <f t="shared" si="8"/>
        <v>0</v>
      </c>
      <c r="H120" s="97">
        <v>10.808</v>
      </c>
      <c r="I120" s="97">
        <v>0</v>
      </c>
      <c r="J120" s="97">
        <v>0</v>
      </c>
      <c r="K120" s="97">
        <v>0</v>
      </c>
      <c r="L120" s="97">
        <v>0</v>
      </c>
      <c r="M120" s="97">
        <v>0</v>
      </c>
      <c r="N120" s="97">
        <v>0</v>
      </c>
    </row>
    <row r="121" spans="1:14" ht="25.5">
      <c r="A121" s="119">
        <v>101</v>
      </c>
      <c r="B121" s="45" t="s">
        <v>195</v>
      </c>
      <c r="C121" s="45" t="s">
        <v>196</v>
      </c>
      <c r="D121" s="45" t="s">
        <v>109</v>
      </c>
      <c r="E121" s="91">
        <v>1</v>
      </c>
      <c r="F121" s="47"/>
      <c r="G121" s="47">
        <f t="shared" si="8"/>
        <v>0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  <c r="M121" s="92">
        <v>0</v>
      </c>
      <c r="N121" s="92">
        <v>0</v>
      </c>
    </row>
    <row r="122" spans="1:14" ht="12.75">
      <c r="A122" s="119">
        <v>102</v>
      </c>
      <c r="B122" s="54" t="s">
        <v>193</v>
      </c>
      <c r="C122" s="54" t="s">
        <v>479</v>
      </c>
      <c r="D122" s="54" t="s">
        <v>45</v>
      </c>
      <c r="E122" s="96">
        <v>7.0000000000000001E-3</v>
      </c>
      <c r="F122" s="56"/>
      <c r="G122" s="47">
        <f t="shared" si="8"/>
        <v>0</v>
      </c>
      <c r="H122" s="92"/>
      <c r="I122" s="92"/>
      <c r="J122" s="92"/>
      <c r="K122" s="92"/>
      <c r="L122" s="92"/>
      <c r="M122" s="92"/>
      <c r="N122" s="92"/>
    </row>
    <row r="123" spans="1:14" ht="12.75">
      <c r="A123" s="119">
        <v>103</v>
      </c>
      <c r="B123" s="45" t="s">
        <v>197</v>
      </c>
      <c r="C123" s="45" t="s">
        <v>198</v>
      </c>
      <c r="D123" s="45" t="s">
        <v>109</v>
      </c>
      <c r="E123" s="91">
        <v>1</v>
      </c>
      <c r="F123" s="47"/>
      <c r="G123" s="47">
        <f t="shared" si="8"/>
        <v>0</v>
      </c>
      <c r="H123" s="92"/>
      <c r="I123" s="92"/>
      <c r="J123" s="92"/>
      <c r="K123" s="92"/>
      <c r="L123" s="92"/>
      <c r="M123" s="92"/>
      <c r="N123" s="92"/>
    </row>
    <row r="124" spans="1:14" ht="12.75">
      <c r="A124" s="119">
        <v>104</v>
      </c>
      <c r="B124" s="45" t="s">
        <v>107</v>
      </c>
      <c r="C124" s="45" t="s">
        <v>259</v>
      </c>
      <c r="D124" s="45" t="s">
        <v>109</v>
      </c>
      <c r="E124" s="46">
        <v>1</v>
      </c>
      <c r="F124" s="47"/>
      <c r="G124" s="47">
        <f t="shared" si="8"/>
        <v>0</v>
      </c>
      <c r="H124" s="92">
        <v>198.88</v>
      </c>
      <c r="I124" s="92">
        <v>0</v>
      </c>
      <c r="J124" s="92">
        <v>0</v>
      </c>
      <c r="K124" s="92">
        <v>0</v>
      </c>
      <c r="L124" s="92">
        <v>0</v>
      </c>
      <c r="M124" s="92">
        <v>0</v>
      </c>
      <c r="N124" s="92">
        <v>0</v>
      </c>
    </row>
    <row r="125" spans="1:14" ht="12.75">
      <c r="A125" s="119">
        <v>105</v>
      </c>
      <c r="B125" s="54" t="s">
        <v>108</v>
      </c>
      <c r="C125" s="54" t="s">
        <v>260</v>
      </c>
      <c r="D125" s="54" t="s">
        <v>122</v>
      </c>
      <c r="E125" s="55">
        <v>0.01</v>
      </c>
      <c r="F125" s="56"/>
      <c r="G125" s="47">
        <f t="shared" si="8"/>
        <v>0</v>
      </c>
      <c r="H125" s="92">
        <v>39.200000000000003</v>
      </c>
      <c r="I125" s="92">
        <v>0</v>
      </c>
      <c r="J125" s="92">
        <v>0</v>
      </c>
      <c r="K125" s="92">
        <v>0</v>
      </c>
      <c r="L125" s="92">
        <v>0</v>
      </c>
      <c r="M125" s="92">
        <v>0</v>
      </c>
      <c r="N125" s="92">
        <v>0</v>
      </c>
    </row>
    <row r="126" spans="1:14" ht="12.75">
      <c r="A126" s="119">
        <v>106</v>
      </c>
      <c r="B126" s="45" t="s">
        <v>135</v>
      </c>
      <c r="C126" s="45" t="s">
        <v>136</v>
      </c>
      <c r="D126" s="45" t="s">
        <v>109</v>
      </c>
      <c r="E126" s="91">
        <f>SUM(E128:E141)</f>
        <v>905</v>
      </c>
      <c r="F126" s="47"/>
      <c r="G126" s="47">
        <f t="shared" si="8"/>
        <v>0</v>
      </c>
      <c r="H126" s="92"/>
      <c r="I126" s="92"/>
      <c r="J126" s="92"/>
      <c r="K126" s="92"/>
      <c r="L126" s="92"/>
      <c r="M126" s="92"/>
      <c r="N126" s="92"/>
    </row>
    <row r="127" spans="1:14" ht="12.75">
      <c r="A127" s="119">
        <v>107</v>
      </c>
      <c r="B127" s="45" t="s">
        <v>137</v>
      </c>
      <c r="C127" s="45" t="s">
        <v>138</v>
      </c>
      <c r="D127" s="45" t="s">
        <v>109</v>
      </c>
      <c r="E127" s="91">
        <f>SUM(E142:E144)</f>
        <v>106</v>
      </c>
      <c r="F127" s="47"/>
      <c r="G127" s="47">
        <f t="shared" si="8"/>
        <v>0</v>
      </c>
      <c r="H127" s="92"/>
      <c r="I127" s="92"/>
      <c r="J127" s="92"/>
      <c r="K127" s="92"/>
      <c r="L127" s="92"/>
      <c r="M127" s="92"/>
      <c r="N127" s="92"/>
    </row>
    <row r="128" spans="1:14" ht="14.25">
      <c r="A128" s="119">
        <v>108</v>
      </c>
      <c r="B128" s="54" t="s">
        <v>236</v>
      </c>
      <c r="C128" s="54" t="s">
        <v>480</v>
      </c>
      <c r="D128" s="54" t="s">
        <v>139</v>
      </c>
      <c r="E128" s="96">
        <v>114</v>
      </c>
      <c r="F128" s="184"/>
      <c r="G128" s="47">
        <f>E128*F128</f>
        <v>0</v>
      </c>
      <c r="H128" s="97">
        <v>4680</v>
      </c>
      <c r="I128" s="97">
        <v>0</v>
      </c>
      <c r="J128" s="97">
        <v>0</v>
      </c>
      <c r="K128" s="97">
        <v>0</v>
      </c>
      <c r="L128" s="97">
        <v>0</v>
      </c>
      <c r="M128" s="97">
        <v>0</v>
      </c>
      <c r="N128" s="97">
        <v>0</v>
      </c>
    </row>
    <row r="129" spans="1:21" ht="12.75">
      <c r="A129" s="119">
        <v>109</v>
      </c>
      <c r="B129" s="54" t="s">
        <v>457</v>
      </c>
      <c r="C129" s="54" t="s">
        <v>478</v>
      </c>
      <c r="D129" s="54" t="s">
        <v>139</v>
      </c>
      <c r="E129" s="96">
        <v>14</v>
      </c>
      <c r="F129" s="184"/>
      <c r="G129" s="47">
        <f t="shared" ref="G129:G141" si="9">F128*E129</f>
        <v>0</v>
      </c>
      <c r="H129" s="97">
        <v>3420</v>
      </c>
      <c r="I129" s="97">
        <v>0</v>
      </c>
      <c r="J129" s="97">
        <v>0</v>
      </c>
      <c r="K129" s="97">
        <v>0</v>
      </c>
      <c r="L129" s="97">
        <v>0</v>
      </c>
      <c r="M129" s="97">
        <v>0</v>
      </c>
      <c r="N129" s="97">
        <v>0</v>
      </c>
    </row>
    <row r="130" spans="1:21" ht="14.25">
      <c r="A130" s="119">
        <v>110</v>
      </c>
      <c r="B130" s="54" t="s">
        <v>458</v>
      </c>
      <c r="C130" s="54" t="s">
        <v>467</v>
      </c>
      <c r="D130" s="54" t="s">
        <v>139</v>
      </c>
      <c r="E130" s="96">
        <v>7</v>
      </c>
      <c r="F130" s="184"/>
      <c r="G130" s="47">
        <f t="shared" si="9"/>
        <v>0</v>
      </c>
      <c r="H130" s="97">
        <v>2655</v>
      </c>
      <c r="I130" s="97">
        <v>0</v>
      </c>
      <c r="J130" s="97">
        <v>0</v>
      </c>
      <c r="K130" s="97">
        <v>0</v>
      </c>
      <c r="L130" s="97">
        <v>0</v>
      </c>
      <c r="M130" s="97">
        <v>0</v>
      </c>
      <c r="N130" s="97">
        <v>0</v>
      </c>
    </row>
    <row r="131" spans="1:21" ht="14.25">
      <c r="A131" s="119">
        <v>111</v>
      </c>
      <c r="B131" s="54" t="s">
        <v>140</v>
      </c>
      <c r="C131" s="54" t="s">
        <v>481</v>
      </c>
      <c r="D131" s="54" t="s">
        <v>139</v>
      </c>
      <c r="E131" s="96">
        <v>10</v>
      </c>
      <c r="F131" s="184"/>
      <c r="G131" s="47">
        <f t="shared" si="9"/>
        <v>0</v>
      </c>
      <c r="H131" s="97">
        <v>31815</v>
      </c>
      <c r="I131" s="97">
        <v>0</v>
      </c>
      <c r="J131" s="97">
        <v>0</v>
      </c>
      <c r="K131" s="97">
        <v>0</v>
      </c>
      <c r="L131" s="97">
        <v>0</v>
      </c>
      <c r="M131" s="97">
        <v>0</v>
      </c>
      <c r="N131" s="97">
        <v>0</v>
      </c>
    </row>
    <row r="132" spans="1:21" ht="12.75">
      <c r="A132" s="119">
        <v>112</v>
      </c>
      <c r="B132" s="54" t="s">
        <v>141</v>
      </c>
      <c r="C132" s="54" t="s">
        <v>463</v>
      </c>
      <c r="D132" s="54" t="s">
        <v>139</v>
      </c>
      <c r="E132" s="96">
        <v>127</v>
      </c>
      <c r="F132" s="184"/>
      <c r="G132" s="47">
        <f t="shared" si="9"/>
        <v>0</v>
      </c>
      <c r="H132" s="97">
        <v>13860</v>
      </c>
      <c r="I132" s="97">
        <v>0</v>
      </c>
      <c r="J132" s="97">
        <v>0</v>
      </c>
      <c r="K132" s="97">
        <v>0</v>
      </c>
      <c r="L132" s="97">
        <v>0</v>
      </c>
      <c r="M132" s="97">
        <v>0</v>
      </c>
      <c r="N132" s="97">
        <v>0</v>
      </c>
    </row>
    <row r="133" spans="1:21" ht="14.25">
      <c r="A133" s="119">
        <v>113</v>
      </c>
      <c r="B133" s="54" t="s">
        <v>459</v>
      </c>
      <c r="C133" s="54" t="s">
        <v>482</v>
      </c>
      <c r="D133" s="54" t="s">
        <v>139</v>
      </c>
      <c r="E133" s="96">
        <v>35</v>
      </c>
      <c r="F133" s="184"/>
      <c r="G133" s="47">
        <f t="shared" si="9"/>
        <v>0</v>
      </c>
      <c r="H133" s="97">
        <v>2665</v>
      </c>
      <c r="I133" s="97">
        <v>0</v>
      </c>
      <c r="J133" s="97">
        <v>0</v>
      </c>
      <c r="K133" s="97">
        <v>0</v>
      </c>
      <c r="L133" s="97">
        <v>0</v>
      </c>
      <c r="M133" s="97">
        <v>0</v>
      </c>
      <c r="N133" s="97">
        <v>0</v>
      </c>
      <c r="U133" s="102"/>
    </row>
    <row r="134" spans="1:21" ht="14.25">
      <c r="A134" s="119">
        <v>114</v>
      </c>
      <c r="B134" s="54" t="s">
        <v>473</v>
      </c>
      <c r="C134" s="54" t="s">
        <v>483</v>
      </c>
      <c r="D134" s="54" t="s">
        <v>139</v>
      </c>
      <c r="E134" s="96">
        <v>24</v>
      </c>
      <c r="F134" s="184"/>
      <c r="G134" s="47">
        <f t="shared" si="9"/>
        <v>0</v>
      </c>
      <c r="H134" s="97">
        <v>7480</v>
      </c>
      <c r="I134" s="97">
        <v>0</v>
      </c>
      <c r="J134" s="97">
        <v>0</v>
      </c>
      <c r="K134" s="97">
        <v>0</v>
      </c>
      <c r="L134" s="97">
        <v>0</v>
      </c>
      <c r="M134" s="97">
        <v>0</v>
      </c>
      <c r="N134" s="97">
        <v>0</v>
      </c>
    </row>
    <row r="135" spans="1:21" ht="14.25">
      <c r="A135" s="119">
        <v>115</v>
      </c>
      <c r="B135" s="54" t="s">
        <v>460</v>
      </c>
      <c r="C135" s="54" t="s">
        <v>484</v>
      </c>
      <c r="D135" s="54" t="s">
        <v>139</v>
      </c>
      <c r="E135" s="96">
        <v>25</v>
      </c>
      <c r="F135" s="184"/>
      <c r="G135" s="47">
        <f t="shared" si="9"/>
        <v>0</v>
      </c>
      <c r="H135" s="97"/>
      <c r="I135" s="97"/>
      <c r="J135" s="97"/>
      <c r="K135" s="97"/>
      <c r="L135" s="97"/>
      <c r="M135" s="97"/>
      <c r="N135" s="97"/>
    </row>
    <row r="136" spans="1:21" ht="12.75">
      <c r="A136" s="119">
        <v>116</v>
      </c>
      <c r="B136" s="54" t="s">
        <v>142</v>
      </c>
      <c r="C136" s="54" t="s">
        <v>464</v>
      </c>
      <c r="D136" s="54" t="s">
        <v>139</v>
      </c>
      <c r="E136" s="96">
        <v>37</v>
      </c>
      <c r="F136" s="184"/>
      <c r="G136" s="47">
        <f t="shared" si="9"/>
        <v>0</v>
      </c>
      <c r="H136" s="97">
        <v>18920</v>
      </c>
      <c r="I136" s="97">
        <v>0</v>
      </c>
      <c r="J136" s="97">
        <v>0</v>
      </c>
      <c r="K136" s="97">
        <v>0</v>
      </c>
      <c r="L136" s="97">
        <v>0</v>
      </c>
      <c r="M136" s="97">
        <v>0</v>
      </c>
      <c r="N136" s="97">
        <v>0</v>
      </c>
    </row>
    <row r="137" spans="1:21" ht="12.75">
      <c r="A137" s="119">
        <v>117</v>
      </c>
      <c r="B137" s="54" t="s">
        <v>486</v>
      </c>
      <c r="C137" s="54" t="s">
        <v>237</v>
      </c>
      <c r="D137" s="54" t="s">
        <v>139</v>
      </c>
      <c r="E137" s="96">
        <v>33</v>
      </c>
      <c r="F137" s="184"/>
      <c r="G137" s="47">
        <f t="shared" si="9"/>
        <v>0</v>
      </c>
      <c r="H137" s="97"/>
      <c r="I137" s="97"/>
      <c r="J137" s="97"/>
      <c r="K137" s="97"/>
      <c r="L137" s="97"/>
      <c r="M137" s="97"/>
      <c r="N137" s="97"/>
    </row>
    <row r="138" spans="1:21" ht="12.75">
      <c r="A138" s="119">
        <v>118</v>
      </c>
      <c r="B138" s="54" t="s">
        <v>143</v>
      </c>
      <c r="C138" s="54" t="s">
        <v>465</v>
      </c>
      <c r="D138" s="54" t="s">
        <v>139</v>
      </c>
      <c r="E138" s="96">
        <v>349</v>
      </c>
      <c r="F138" s="184"/>
      <c r="G138" s="47">
        <f t="shared" si="9"/>
        <v>0</v>
      </c>
      <c r="H138" s="97"/>
      <c r="I138" s="97"/>
      <c r="J138" s="97"/>
      <c r="K138" s="97"/>
      <c r="L138" s="97"/>
      <c r="M138" s="97"/>
      <c r="N138" s="97"/>
    </row>
    <row r="139" spans="1:21" ht="12.75">
      <c r="A139" s="119">
        <v>119</v>
      </c>
      <c r="B139" s="54" t="s">
        <v>238</v>
      </c>
      <c r="C139" s="54" t="s">
        <v>239</v>
      </c>
      <c r="D139" s="54" t="s">
        <v>139</v>
      </c>
      <c r="E139" s="96">
        <v>48</v>
      </c>
      <c r="F139" s="184"/>
      <c r="G139" s="47">
        <f t="shared" si="9"/>
        <v>0</v>
      </c>
      <c r="H139" s="97">
        <v>21240</v>
      </c>
      <c r="I139" s="97">
        <v>0</v>
      </c>
      <c r="J139" s="97">
        <v>0</v>
      </c>
      <c r="K139" s="97">
        <v>0</v>
      </c>
      <c r="L139" s="97">
        <v>0</v>
      </c>
      <c r="M139" s="97">
        <v>0</v>
      </c>
      <c r="N139" s="97">
        <v>0</v>
      </c>
    </row>
    <row r="140" spans="1:21" ht="12.75">
      <c r="A140" s="119">
        <v>120</v>
      </c>
      <c r="B140" s="54" t="s">
        <v>240</v>
      </c>
      <c r="C140" s="54" t="s">
        <v>241</v>
      </c>
      <c r="D140" s="54" t="s">
        <v>139</v>
      </c>
      <c r="E140" s="96">
        <v>12</v>
      </c>
      <c r="F140" s="184"/>
      <c r="G140" s="47">
        <f t="shared" si="9"/>
        <v>0</v>
      </c>
      <c r="H140" s="97"/>
      <c r="I140" s="97"/>
      <c r="J140" s="97"/>
      <c r="K140" s="97"/>
      <c r="L140" s="97"/>
      <c r="M140" s="97"/>
      <c r="N140" s="97"/>
    </row>
    <row r="141" spans="1:21" ht="14.25">
      <c r="A141" s="119">
        <v>121</v>
      </c>
      <c r="B141" s="54" t="s">
        <v>461</v>
      </c>
      <c r="C141" s="54" t="s">
        <v>485</v>
      </c>
      <c r="D141" s="54" t="s">
        <v>139</v>
      </c>
      <c r="E141" s="96">
        <v>70</v>
      </c>
      <c r="F141" s="184"/>
      <c r="G141" s="47">
        <f t="shared" si="9"/>
        <v>0</v>
      </c>
      <c r="H141" s="97">
        <v>3920</v>
      </c>
      <c r="I141" s="97">
        <v>0</v>
      </c>
      <c r="J141" s="97">
        <v>0</v>
      </c>
      <c r="K141" s="97">
        <v>0</v>
      </c>
      <c r="L141" s="97">
        <v>0</v>
      </c>
      <c r="M141" s="97">
        <v>0</v>
      </c>
      <c r="N141" s="97">
        <v>0</v>
      </c>
    </row>
    <row r="142" spans="1:21" ht="12.75">
      <c r="A142" s="119">
        <v>122</v>
      </c>
      <c r="B142" s="54" t="s">
        <v>242</v>
      </c>
      <c r="C142" s="54" t="s">
        <v>243</v>
      </c>
      <c r="D142" s="54" t="s">
        <v>139</v>
      </c>
      <c r="E142" s="96">
        <v>18</v>
      </c>
      <c r="F142" s="184"/>
      <c r="G142" s="47">
        <f t="shared" si="8"/>
        <v>0</v>
      </c>
      <c r="H142" s="97"/>
      <c r="I142" s="97"/>
      <c r="J142" s="97"/>
      <c r="K142" s="97"/>
      <c r="L142" s="97"/>
      <c r="M142" s="97"/>
      <c r="N142" s="97"/>
    </row>
    <row r="143" spans="1:21" ht="12.75">
      <c r="A143" s="119">
        <v>123</v>
      </c>
      <c r="B143" s="54" t="s">
        <v>144</v>
      </c>
      <c r="C143" s="54" t="s">
        <v>145</v>
      </c>
      <c r="D143" s="54" t="s">
        <v>139</v>
      </c>
      <c r="E143" s="96">
        <v>55</v>
      </c>
      <c r="F143" s="184"/>
      <c r="G143" s="47">
        <f t="shared" si="8"/>
        <v>0</v>
      </c>
      <c r="H143" s="92">
        <v>0</v>
      </c>
      <c r="I143" s="92">
        <v>0</v>
      </c>
      <c r="J143" s="92">
        <v>0</v>
      </c>
      <c r="K143" s="92">
        <v>0</v>
      </c>
      <c r="L143" s="92">
        <v>0</v>
      </c>
      <c r="M143" s="92">
        <v>0</v>
      </c>
      <c r="N143" s="92">
        <v>0</v>
      </c>
    </row>
    <row r="144" spans="1:21" ht="12.75">
      <c r="A144" s="119">
        <v>124</v>
      </c>
      <c r="B144" s="54" t="s">
        <v>244</v>
      </c>
      <c r="C144" s="54" t="s">
        <v>245</v>
      </c>
      <c r="D144" s="54" t="s">
        <v>139</v>
      </c>
      <c r="E144" s="96">
        <v>33</v>
      </c>
      <c r="F144" s="184"/>
      <c r="G144" s="47">
        <f t="shared" si="8"/>
        <v>0</v>
      </c>
      <c r="H144" s="97">
        <v>20210.96</v>
      </c>
      <c r="I144" s="97">
        <v>0</v>
      </c>
      <c r="J144" s="97">
        <v>0</v>
      </c>
      <c r="K144" s="97">
        <v>0</v>
      </c>
      <c r="L144" s="97">
        <v>0</v>
      </c>
      <c r="M144" s="97">
        <v>0</v>
      </c>
      <c r="N144" s="97">
        <v>0</v>
      </c>
    </row>
    <row r="145" spans="1:14" ht="12.75">
      <c r="A145" s="119">
        <v>125</v>
      </c>
      <c r="B145" s="45" t="s">
        <v>199</v>
      </c>
      <c r="C145" s="45" t="s">
        <v>200</v>
      </c>
      <c r="D145" s="45" t="s">
        <v>40</v>
      </c>
      <c r="E145" s="91">
        <v>186</v>
      </c>
      <c r="F145" s="47"/>
      <c r="G145" s="47">
        <f t="shared" si="8"/>
        <v>0</v>
      </c>
      <c r="H145" s="92">
        <v>0</v>
      </c>
      <c r="I145" s="92">
        <v>0</v>
      </c>
      <c r="J145" s="92">
        <v>0</v>
      </c>
      <c r="K145" s="92">
        <v>0</v>
      </c>
      <c r="L145" s="92">
        <v>0</v>
      </c>
      <c r="M145" s="92">
        <v>0</v>
      </c>
      <c r="N145" s="92">
        <v>0</v>
      </c>
    </row>
    <row r="146" spans="1:14" ht="12.75">
      <c r="A146" s="119">
        <v>126</v>
      </c>
      <c r="B146" s="54" t="s">
        <v>193</v>
      </c>
      <c r="C146" s="54" t="s">
        <v>292</v>
      </c>
      <c r="D146" s="54" t="s">
        <v>45</v>
      </c>
      <c r="E146" s="96">
        <f>E145*0.07</f>
        <v>13.020000000000001</v>
      </c>
      <c r="F146" s="56"/>
      <c r="G146" s="47">
        <f t="shared" si="8"/>
        <v>0</v>
      </c>
      <c r="H146" s="97">
        <v>0</v>
      </c>
      <c r="I146" s="97">
        <v>0</v>
      </c>
      <c r="J146" s="97">
        <v>0</v>
      </c>
      <c r="K146" s="97">
        <v>0</v>
      </c>
      <c r="L146" s="97">
        <v>0</v>
      </c>
      <c r="M146" s="97">
        <v>0</v>
      </c>
      <c r="N146" s="97">
        <v>0</v>
      </c>
    </row>
    <row r="147" spans="1:14" ht="25.5">
      <c r="A147" s="119">
        <v>127</v>
      </c>
      <c r="B147" s="45" t="s">
        <v>201</v>
      </c>
      <c r="C147" s="45" t="s">
        <v>202</v>
      </c>
      <c r="D147" s="45" t="s">
        <v>56</v>
      </c>
      <c r="E147" s="91">
        <f>(E126+(E117+E115+E114+E111+E110+E109+E108)*5)/1000000</f>
        <v>1.08E-3</v>
      </c>
      <c r="F147" s="47"/>
      <c r="G147" s="47">
        <f t="shared" si="8"/>
        <v>0</v>
      </c>
      <c r="H147" s="92">
        <v>0</v>
      </c>
      <c r="I147" s="92">
        <v>0</v>
      </c>
      <c r="J147" s="92">
        <v>0</v>
      </c>
      <c r="K147" s="92">
        <v>0</v>
      </c>
      <c r="L147" s="92">
        <v>0</v>
      </c>
      <c r="M147" s="92">
        <v>0</v>
      </c>
      <c r="N147" s="92">
        <v>0</v>
      </c>
    </row>
    <row r="148" spans="1:14" ht="26.25" customHeight="1">
      <c r="A148" s="119">
        <v>128</v>
      </c>
      <c r="B148" s="54" t="s">
        <v>203</v>
      </c>
      <c r="C148" s="54" t="s">
        <v>204</v>
      </c>
      <c r="D148" s="54" t="s">
        <v>56</v>
      </c>
      <c r="E148" s="96">
        <f>E147</f>
        <v>1.08E-3</v>
      </c>
      <c r="F148" s="56"/>
      <c r="G148" s="47">
        <f t="shared" si="8"/>
        <v>0</v>
      </c>
      <c r="H148" s="94"/>
      <c r="I148" s="94"/>
      <c r="J148" s="94"/>
      <c r="K148" s="94"/>
      <c r="L148" s="94"/>
      <c r="M148" s="94"/>
      <c r="N148" s="94"/>
    </row>
    <row r="149" spans="1:14" ht="12.75">
      <c r="A149" s="119">
        <v>129</v>
      </c>
      <c r="B149" s="45" t="s">
        <v>205</v>
      </c>
      <c r="C149" s="45" t="s">
        <v>206</v>
      </c>
      <c r="D149" s="45" t="s">
        <v>56</v>
      </c>
      <c r="E149" s="91">
        <v>7.75</v>
      </c>
      <c r="F149" s="47"/>
      <c r="G149" s="47">
        <f t="shared" si="8"/>
        <v>0</v>
      </c>
      <c r="H149" s="94"/>
      <c r="I149" s="94"/>
      <c r="J149" s="94"/>
      <c r="K149" s="94"/>
      <c r="L149" s="94"/>
      <c r="M149" s="94"/>
      <c r="N149" s="94"/>
    </row>
    <row r="150" spans="1:14" ht="12.75">
      <c r="A150" s="119"/>
      <c r="B150" s="363"/>
      <c r="C150" s="363" t="s">
        <v>418</v>
      </c>
      <c r="D150" s="364"/>
      <c r="E150" s="365"/>
      <c r="F150" s="366"/>
      <c r="G150" s="367">
        <f>SUM(G151:G152)</f>
        <v>0</v>
      </c>
      <c r="H150" s="94"/>
      <c r="I150" s="94"/>
      <c r="J150" s="94"/>
      <c r="K150" s="94"/>
      <c r="L150" s="94"/>
      <c r="M150" s="94"/>
      <c r="N150" s="94"/>
    </row>
    <row r="151" spans="1:14" ht="26.25" customHeight="1">
      <c r="A151" s="119">
        <v>130</v>
      </c>
      <c r="B151" s="45" t="s">
        <v>107</v>
      </c>
      <c r="C151" s="45" t="s">
        <v>420</v>
      </c>
      <c r="D151" s="45" t="s">
        <v>139</v>
      </c>
      <c r="E151" s="91">
        <v>17</v>
      </c>
      <c r="F151" s="47"/>
      <c r="G151" s="47">
        <f>E151*F151</f>
        <v>0</v>
      </c>
    </row>
    <row r="152" spans="1:14" ht="25.5">
      <c r="A152" s="119">
        <v>131</v>
      </c>
      <c r="B152" s="45" t="s">
        <v>107</v>
      </c>
      <c r="C152" s="54" t="s">
        <v>419</v>
      </c>
      <c r="D152" s="45" t="s">
        <v>139</v>
      </c>
      <c r="E152" s="96">
        <v>17</v>
      </c>
      <c r="F152" s="56"/>
      <c r="G152" s="47">
        <f>E152*F152</f>
        <v>0</v>
      </c>
    </row>
    <row r="153" spans="1:14" ht="12.75">
      <c r="A153" s="119"/>
      <c r="B153" s="371" t="s">
        <v>412</v>
      </c>
      <c r="C153" s="371" t="s">
        <v>411</v>
      </c>
      <c r="D153" s="372"/>
      <c r="E153" s="373"/>
      <c r="F153" s="374"/>
      <c r="G153" s="377">
        <f>SUM(G155:G160)</f>
        <v>0</v>
      </c>
    </row>
    <row r="154" spans="1:14" ht="12.75">
      <c r="A154" s="119">
        <v>132</v>
      </c>
      <c r="B154" s="169" t="s">
        <v>413</v>
      </c>
      <c r="C154" s="65" t="s">
        <v>406</v>
      </c>
      <c r="D154" s="157" t="s">
        <v>311</v>
      </c>
      <c r="E154" s="53">
        <v>1</v>
      </c>
      <c r="F154" s="53"/>
      <c r="G154" s="53">
        <f>E154*F154</f>
        <v>0</v>
      </c>
    </row>
    <row r="155" spans="1:14" ht="12.75">
      <c r="A155" s="119">
        <v>133</v>
      </c>
      <c r="B155" s="169" t="s">
        <v>414</v>
      </c>
      <c r="C155" s="65" t="s">
        <v>407</v>
      </c>
      <c r="D155" s="157" t="s">
        <v>320</v>
      </c>
      <c r="E155" s="53">
        <v>2.5</v>
      </c>
      <c r="F155" s="53"/>
      <c r="G155" s="53">
        <f>E155*F155</f>
        <v>0</v>
      </c>
    </row>
    <row r="156" spans="1:14" ht="12.75" customHeight="1">
      <c r="A156" s="119">
        <v>134</v>
      </c>
      <c r="B156" s="169" t="s">
        <v>415</v>
      </c>
      <c r="C156" s="65" t="s">
        <v>408</v>
      </c>
      <c r="D156" s="157" t="s">
        <v>320</v>
      </c>
      <c r="E156" s="53">
        <v>1.1000000000000001</v>
      </c>
      <c r="F156" s="53"/>
      <c r="G156" s="53">
        <f t="shared" ref="G156:G158" si="10">E156*F156</f>
        <v>0</v>
      </c>
    </row>
    <row r="157" spans="1:14" ht="12.75">
      <c r="A157" s="119">
        <v>135</v>
      </c>
      <c r="B157" s="169" t="s">
        <v>416</v>
      </c>
      <c r="C157" s="65" t="s">
        <v>409</v>
      </c>
      <c r="D157" s="157" t="s">
        <v>320</v>
      </c>
      <c r="E157" s="53">
        <v>2</v>
      </c>
      <c r="F157" s="53"/>
      <c r="G157" s="53">
        <f t="shared" si="10"/>
        <v>0</v>
      </c>
    </row>
    <row r="158" spans="1:14" ht="25.5">
      <c r="A158" s="119">
        <v>136</v>
      </c>
      <c r="B158" s="169" t="s">
        <v>417</v>
      </c>
      <c r="C158" s="65" t="s">
        <v>410</v>
      </c>
      <c r="D158" s="157" t="s">
        <v>320</v>
      </c>
      <c r="E158" s="53">
        <v>2.5</v>
      </c>
      <c r="F158" s="53"/>
      <c r="G158" s="53">
        <f t="shared" si="10"/>
        <v>0</v>
      </c>
    </row>
    <row r="159" spans="1:14" ht="25.5">
      <c r="A159" s="119">
        <v>137</v>
      </c>
      <c r="B159" s="169" t="s">
        <v>429</v>
      </c>
      <c r="C159" s="65" t="s">
        <v>428</v>
      </c>
      <c r="D159" s="157" t="s">
        <v>311</v>
      </c>
      <c r="E159" s="53">
        <v>1</v>
      </c>
      <c r="F159" s="53"/>
      <c r="G159" s="53">
        <f>E159*F159</f>
        <v>0</v>
      </c>
    </row>
    <row r="160" spans="1:14" ht="12.75">
      <c r="A160" s="119">
        <v>138</v>
      </c>
      <c r="B160" s="169"/>
      <c r="C160" s="65" t="s">
        <v>455</v>
      </c>
      <c r="D160" s="157" t="s">
        <v>311</v>
      </c>
      <c r="E160" s="53">
        <v>1</v>
      </c>
      <c r="F160" s="53"/>
      <c r="G160" s="53">
        <f t="shared" ref="G160" si="11">E160*F160</f>
        <v>0</v>
      </c>
    </row>
  </sheetData>
  <mergeCells count="1">
    <mergeCell ref="A1:N1"/>
  </mergeCells>
  <pageMargins left="0.70866141732283472" right="0.70866141732283472" top="0.78740157480314965" bottom="0.78740157480314965" header="0.31496062992125984" footer="0.31496062992125984"/>
  <pageSetup scale="55" orientation="portrait" r:id="rId1"/>
  <rowBreaks count="2" manualBreakCount="2">
    <brk id="51" max="16383" man="1"/>
    <brk id="92" max="16383" man="1"/>
  </rowBreaks>
  <colBreaks count="1" manualBreakCount="1">
    <brk id="14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="130" zoomScaleSheetLayoutView="130" workbookViewId="0">
      <selection activeCell="G6" sqref="G6:G18"/>
    </sheetView>
  </sheetViews>
  <sheetFormatPr defaultRowHeight="10.5"/>
  <cols>
    <col min="2" max="2" width="67.33203125" customWidth="1"/>
    <col min="4" max="4" width="12.1640625" customWidth="1"/>
    <col min="5" max="6" width="14.5" customWidth="1"/>
    <col min="7" max="7" width="17.5" customWidth="1"/>
    <col min="8" max="8" width="25.33203125" customWidth="1"/>
  </cols>
  <sheetData>
    <row r="1" spans="1:8" ht="12.75">
      <c r="B1" s="155" t="s">
        <v>313</v>
      </c>
    </row>
    <row r="3" spans="1:8" ht="12.75">
      <c r="A3" s="121"/>
      <c r="B3" s="155" t="s">
        <v>424</v>
      </c>
      <c r="C3" s="121"/>
      <c r="D3" s="121"/>
      <c r="E3" s="121"/>
      <c r="F3" s="121"/>
      <c r="G3" s="123"/>
      <c r="H3" s="123"/>
    </row>
    <row r="4" spans="1:8" ht="13.5" thickBot="1">
      <c r="A4" s="121"/>
      <c r="B4" s="122"/>
      <c r="C4" s="121"/>
      <c r="D4" s="121"/>
      <c r="E4" s="121"/>
      <c r="F4" s="121"/>
      <c r="G4" s="123"/>
      <c r="H4" s="123"/>
    </row>
    <row r="5" spans="1:8" ht="25.5">
      <c r="A5" s="144" t="s">
        <v>7</v>
      </c>
      <c r="B5" s="145" t="s">
        <v>9</v>
      </c>
      <c r="C5" s="146" t="s">
        <v>10</v>
      </c>
      <c r="D5" s="146" t="s">
        <v>267</v>
      </c>
      <c r="E5" s="146" t="s">
        <v>263</v>
      </c>
      <c r="F5" s="146" t="s">
        <v>264</v>
      </c>
      <c r="G5" s="147" t="s">
        <v>12</v>
      </c>
      <c r="H5" s="148" t="s">
        <v>13</v>
      </c>
    </row>
    <row r="6" spans="1:8" ht="12.75">
      <c r="A6" s="154">
        <v>1</v>
      </c>
      <c r="B6" s="125" t="s">
        <v>266</v>
      </c>
      <c r="C6" s="124"/>
      <c r="D6" s="124"/>
      <c r="E6" s="124"/>
      <c r="F6" s="124"/>
      <c r="G6" s="126"/>
      <c r="H6" s="149"/>
    </row>
    <row r="7" spans="1:8" ht="12.75">
      <c r="A7" s="153">
        <v>2</v>
      </c>
      <c r="B7" s="128" t="s">
        <v>265</v>
      </c>
      <c r="C7" s="127" t="s">
        <v>139</v>
      </c>
      <c r="D7" s="127">
        <f>'95_F2a'!E117</f>
        <v>1</v>
      </c>
      <c r="E7" s="127">
        <v>2</v>
      </c>
      <c r="F7" s="127">
        <v>3</v>
      </c>
      <c r="G7" s="129"/>
      <c r="H7" s="136">
        <f t="shared" ref="H7:H16" si="0">G7*F7*E7*D7</f>
        <v>0</v>
      </c>
    </row>
    <row r="8" spans="1:8" ht="12.75">
      <c r="A8" s="388">
        <v>3</v>
      </c>
      <c r="B8" s="128" t="s">
        <v>851</v>
      </c>
      <c r="C8" s="127" t="s">
        <v>139</v>
      </c>
      <c r="D8" s="127">
        <f>D7</f>
        <v>1</v>
      </c>
      <c r="E8" s="127">
        <v>25</v>
      </c>
      <c r="F8" s="127">
        <v>3</v>
      </c>
      <c r="G8" s="129"/>
      <c r="H8" s="136">
        <f t="shared" si="0"/>
        <v>0</v>
      </c>
    </row>
    <row r="9" spans="1:8" ht="12.75">
      <c r="A9" s="153">
        <v>4</v>
      </c>
      <c r="B9" s="128" t="s">
        <v>268</v>
      </c>
      <c r="C9" s="127" t="s">
        <v>139</v>
      </c>
      <c r="D9" s="127">
        <f>D8</f>
        <v>1</v>
      </c>
      <c r="E9" s="127">
        <v>1</v>
      </c>
      <c r="F9" s="127">
        <v>3</v>
      </c>
      <c r="G9" s="129"/>
      <c r="H9" s="136">
        <f t="shared" si="0"/>
        <v>0</v>
      </c>
    </row>
    <row r="10" spans="1:8" ht="12.75">
      <c r="A10" s="154">
        <v>5</v>
      </c>
      <c r="B10" s="128" t="s">
        <v>269</v>
      </c>
      <c r="C10" s="127" t="s">
        <v>139</v>
      </c>
      <c r="D10" s="127">
        <f>D7</f>
        <v>1</v>
      </c>
      <c r="E10" s="127">
        <v>4</v>
      </c>
      <c r="F10" s="127">
        <v>3</v>
      </c>
      <c r="G10" s="129"/>
      <c r="H10" s="136">
        <f t="shared" si="0"/>
        <v>0</v>
      </c>
    </row>
    <row r="11" spans="1:8" ht="12.75">
      <c r="A11" s="153">
        <v>6</v>
      </c>
      <c r="B11" s="125" t="s">
        <v>270</v>
      </c>
      <c r="C11" s="127"/>
      <c r="D11" s="127"/>
      <c r="E11" s="127"/>
      <c r="F11" s="127"/>
      <c r="G11" s="129"/>
      <c r="H11" s="136"/>
    </row>
    <row r="12" spans="1:8" ht="12.75">
      <c r="A12" s="388">
        <v>7</v>
      </c>
      <c r="B12" s="128" t="s">
        <v>850</v>
      </c>
      <c r="C12" s="127" t="s">
        <v>139</v>
      </c>
      <c r="D12" s="127">
        <f>'95_F2a'!E114+'95_F2a'!E115</f>
        <v>2</v>
      </c>
      <c r="E12" s="127">
        <v>25</v>
      </c>
      <c r="F12" s="127">
        <v>3</v>
      </c>
      <c r="G12" s="129"/>
      <c r="H12" s="136">
        <f t="shared" si="0"/>
        <v>0</v>
      </c>
    </row>
    <row r="13" spans="1:8" ht="12.75">
      <c r="A13" s="153">
        <v>8</v>
      </c>
      <c r="B13" s="130" t="s">
        <v>275</v>
      </c>
      <c r="C13" s="127"/>
      <c r="D13" s="127"/>
      <c r="E13" s="127"/>
      <c r="F13" s="127"/>
      <c r="G13" s="129"/>
      <c r="H13" s="136"/>
    </row>
    <row r="14" spans="1:8" ht="12.75">
      <c r="A14" s="154">
        <v>9</v>
      </c>
      <c r="B14" s="128" t="s">
        <v>271</v>
      </c>
      <c r="C14" s="127" t="s">
        <v>40</v>
      </c>
      <c r="D14" s="127">
        <f>'95_F2a'!E145</f>
        <v>186</v>
      </c>
      <c r="E14" s="127">
        <v>5</v>
      </c>
      <c r="F14" s="127">
        <v>3</v>
      </c>
      <c r="G14" s="129"/>
      <c r="H14" s="136">
        <f t="shared" si="0"/>
        <v>0</v>
      </c>
    </row>
    <row r="15" spans="1:8" ht="12.75">
      <c r="A15" s="153">
        <v>10</v>
      </c>
      <c r="B15" s="128" t="s">
        <v>272</v>
      </c>
      <c r="C15" s="127" t="s">
        <v>40</v>
      </c>
      <c r="D15" s="127">
        <f>D14</f>
        <v>186</v>
      </c>
      <c r="E15" s="127">
        <v>5</v>
      </c>
      <c r="F15" s="127">
        <v>3</v>
      </c>
      <c r="G15" s="129"/>
      <c r="H15" s="136">
        <f t="shared" si="0"/>
        <v>0</v>
      </c>
    </row>
    <row r="16" spans="1:8" ht="12.75">
      <c r="A16" s="154">
        <v>11</v>
      </c>
      <c r="B16" s="128" t="s">
        <v>273</v>
      </c>
      <c r="C16" s="127" t="s">
        <v>40</v>
      </c>
      <c r="D16" s="127">
        <f>D15</f>
        <v>186</v>
      </c>
      <c r="E16" s="127">
        <v>1</v>
      </c>
      <c r="F16" s="127">
        <v>3</v>
      </c>
      <c r="G16" s="129"/>
      <c r="H16" s="136">
        <f t="shared" si="0"/>
        <v>0</v>
      </c>
    </row>
    <row r="17" spans="1:8" ht="12.75">
      <c r="A17" s="153">
        <v>12</v>
      </c>
      <c r="B17" s="128" t="s">
        <v>274</v>
      </c>
      <c r="C17" s="127" t="s">
        <v>40</v>
      </c>
      <c r="D17" s="127">
        <f>D16</f>
        <v>186</v>
      </c>
      <c r="E17" s="127">
        <v>50</v>
      </c>
      <c r="F17" s="127">
        <v>3</v>
      </c>
      <c r="G17" s="129"/>
      <c r="H17" s="136">
        <f>G17*F17*E17*D17</f>
        <v>0</v>
      </c>
    </row>
    <row r="18" spans="1:8" ht="13.5" thickBot="1">
      <c r="A18" s="141"/>
      <c r="B18" s="142"/>
      <c r="C18" s="141"/>
      <c r="D18" s="141"/>
      <c r="E18" s="141"/>
      <c r="F18" s="141"/>
      <c r="G18" s="143"/>
      <c r="H18" s="143"/>
    </row>
    <row r="19" spans="1:8" ht="12.75">
      <c r="A19" s="131"/>
      <c r="B19" s="132" t="s">
        <v>281</v>
      </c>
      <c r="C19" s="133"/>
      <c r="D19" s="133"/>
      <c r="E19" s="133"/>
      <c r="F19" s="133"/>
      <c r="G19" s="134"/>
      <c r="H19" s="152">
        <f>SUM(H6:H18)</f>
        <v>0</v>
      </c>
    </row>
    <row r="20" spans="1:8" ht="12.75">
      <c r="A20" s="135"/>
      <c r="B20" s="128" t="s">
        <v>282</v>
      </c>
      <c r="C20" s="127"/>
      <c r="D20" s="127"/>
      <c r="E20" s="127"/>
      <c r="F20" s="127"/>
      <c r="G20" s="129"/>
      <c r="H20" s="136">
        <f>H19*0.21</f>
        <v>0</v>
      </c>
    </row>
    <row r="21" spans="1:8" ht="13.5" thickBot="1">
      <c r="A21" s="137"/>
      <c r="B21" s="151" t="s">
        <v>283</v>
      </c>
      <c r="C21" s="139"/>
      <c r="D21" s="139"/>
      <c r="E21" s="139"/>
      <c r="F21" s="139"/>
      <c r="G21" s="140"/>
      <c r="H21" s="150">
        <f>SUM(H19:H20)</f>
        <v>0</v>
      </c>
    </row>
  </sheetData>
  <pageMargins left="0.70866141732283472" right="0.70866141732283472" top="0.78740157480314965" bottom="0.78740157480314965" header="0.31496062992125984" footer="0.31496062992125984"/>
  <pageSetup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SUMÁŘ</vt:lpstr>
      <vt:lpstr>95_F1a</vt:lpstr>
      <vt:lpstr>95_F1b_Rozvojova pece</vt:lpstr>
      <vt:lpstr>95_F1c_Závlaha</vt:lpstr>
      <vt:lpstr>95_F1d_Kanalizace</vt:lpstr>
      <vt:lpstr>95_F2a</vt:lpstr>
      <vt:lpstr>95_F2b_Rozvojova pece</vt:lpstr>
      <vt:lpstr>'95_F1a'!Názvy_tisku</vt:lpstr>
      <vt:lpstr>'95_F1a'!Oblast_tisku</vt:lpstr>
      <vt:lpstr>'95_F1c_Závlaha'!Oblast_tisku</vt:lpstr>
      <vt:lpstr>'95_F2a'!Oblast_tisku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tulipán</dc:creator>
  <cp:lastModifiedBy>Maire Vernerová</cp:lastModifiedBy>
  <cp:lastPrinted>2021-08-06T12:53:26Z</cp:lastPrinted>
  <dcterms:created xsi:type="dcterms:W3CDTF">2021-05-15T08:01:35Z</dcterms:created>
  <dcterms:modified xsi:type="dcterms:W3CDTF">2022-02-24T16:06:43Z</dcterms:modified>
</cp:coreProperties>
</file>